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B-1) MATHS - MES DOCS\0) Aujourd'hui\0) Formulaire\"/>
    </mc:Choice>
  </mc:AlternateContent>
  <bookViews>
    <workbookView xWindow="0" yWindow="153180" windowWidth="13770" windowHeight="9705" tabRatio="596"/>
  </bookViews>
  <sheets>
    <sheet name="nb formule" sheetId="1" r:id="rId1"/>
    <sheet name="nb form photos" sheetId="6" r:id="rId2"/>
    <sheet name="nb pages" sheetId="7" r:id="rId3"/>
    <sheet name="découverte" sheetId="3" r:id="rId4"/>
    <sheet name="objet construit" sheetId="2" r:id="rId5"/>
    <sheet name="Nb Pts fictifs" sheetId="8" r:id="rId6"/>
    <sheet name="nb form fictiv" sheetId="9" r:id="rId7"/>
    <sheet name="Temps 2" sheetId="5" r:id="rId8"/>
    <sheet name="temps" sheetId="4" r:id="rId9"/>
  </sheets>
  <definedNames>
    <definedName name="a_1">'nb form fictiv'!$O$2</definedName>
    <definedName name="m_1">'nb form fictiv'!$N$2</definedName>
    <definedName name="s_1">'nb form fictiv'!$M$2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6" i="1" l="1"/>
  <c r="J37" i="9" l="1"/>
  <c r="J36" i="9"/>
  <c r="J35" i="9"/>
  <c r="J33" i="9"/>
  <c r="J32" i="9"/>
  <c r="J31" i="9"/>
  <c r="J30" i="9"/>
  <c r="M28" i="7" l="1"/>
  <c r="L8" i="7"/>
  <c r="L9" i="7" s="1"/>
  <c r="M42" i="7"/>
  <c r="M34" i="7"/>
  <c r="L41" i="7"/>
  <c r="M8" i="7" l="1"/>
  <c r="C39" i="9"/>
  <c r="D36" i="9"/>
  <c r="G35" i="9"/>
  <c r="D35" i="9"/>
  <c r="G34" i="9"/>
  <c r="D34" i="9"/>
  <c r="G33" i="9"/>
  <c r="F33" i="9"/>
  <c r="D33" i="9"/>
  <c r="N30" i="9"/>
  <c r="M30" i="9"/>
  <c r="B30" i="9"/>
  <c r="O29" i="9"/>
  <c r="O30" i="9" s="1"/>
  <c r="N29" i="9"/>
  <c r="M29" i="9"/>
  <c r="C29" i="9"/>
  <c r="C30" i="9" s="1"/>
  <c r="B29" i="9"/>
  <c r="C27" i="9"/>
  <c r="D24" i="9"/>
  <c r="D23" i="9"/>
  <c r="D22" i="9"/>
  <c r="G21" i="9"/>
  <c r="G23" i="9" s="1"/>
  <c r="F21" i="9"/>
  <c r="D21" i="9"/>
  <c r="B20" i="9"/>
  <c r="M19" i="9"/>
  <c r="M20" i="9" s="1"/>
  <c r="B19" i="9"/>
  <c r="C19" i="9" s="1"/>
  <c r="J18" i="9"/>
  <c r="J19" i="9" s="1"/>
  <c r="J20" i="9" s="1"/>
  <c r="J21" i="9" s="1"/>
  <c r="J17" i="9"/>
  <c r="J16" i="9"/>
  <c r="D15" i="9"/>
  <c r="D14" i="9"/>
  <c r="V13" i="9"/>
  <c r="V14" i="9" s="1"/>
  <c r="V15" i="9" s="1"/>
  <c r="V16" i="9" s="1"/>
  <c r="D13" i="9"/>
  <c r="V12" i="9"/>
  <c r="D12" i="9"/>
  <c r="N11" i="9"/>
  <c r="M11" i="9"/>
  <c r="G11" i="9"/>
  <c r="B11" i="9"/>
  <c r="O10" i="9"/>
  <c r="O11" i="9" s="1"/>
  <c r="N10" i="9"/>
  <c r="M10" i="9"/>
  <c r="G10" i="9"/>
  <c r="C10" i="9"/>
  <c r="C11" i="9" s="1"/>
  <c r="B10" i="9"/>
  <c r="G9" i="9"/>
  <c r="J8" i="9"/>
  <c r="G8" i="9"/>
  <c r="J7" i="9"/>
  <c r="G7" i="9"/>
  <c r="M6" i="9"/>
  <c r="F6" i="9"/>
  <c r="F7" i="9" s="1"/>
  <c r="B4" i="9"/>
  <c r="U3" i="9"/>
  <c r="S3" i="9"/>
  <c r="N3" i="9"/>
  <c r="N4" i="9" s="1"/>
  <c r="M3" i="9"/>
  <c r="M4" i="9" s="1"/>
  <c r="G3" i="9"/>
  <c r="H3" i="9" s="1"/>
  <c r="C3" i="9"/>
  <c r="C4" i="9" l="1"/>
  <c r="C5" i="9" s="1"/>
  <c r="U7" i="9"/>
  <c r="F8" i="9"/>
  <c r="W7" i="9"/>
  <c r="C12" i="9"/>
  <c r="C14" i="9"/>
  <c r="C15" i="9"/>
  <c r="C13" i="9"/>
  <c r="C34" i="9"/>
  <c r="C33" i="9"/>
  <c r="C35" i="9"/>
  <c r="C31" i="9"/>
  <c r="C36" i="9"/>
  <c r="D19" i="9"/>
  <c r="C20" i="9"/>
  <c r="G22" i="9"/>
  <c r="N19" i="9"/>
  <c r="D29" i="9"/>
  <c r="O3" i="9"/>
  <c r="O4" i="9" s="1"/>
  <c r="V63" i="2"/>
  <c r="V62" i="2"/>
  <c r="V59" i="2"/>
  <c r="C7" i="9" l="1"/>
  <c r="C17" i="9" s="1"/>
  <c r="C6" i="9"/>
  <c r="N20" i="9"/>
  <c r="O19" i="9"/>
  <c r="O20" i="9" s="1"/>
  <c r="X7" i="9"/>
  <c r="I7" i="9" s="1"/>
  <c r="H7" i="9"/>
  <c r="U8" i="9"/>
  <c r="F9" i="9"/>
  <c r="W8" i="9"/>
  <c r="C24" i="9"/>
  <c r="C22" i="9"/>
  <c r="C23" i="9"/>
  <c r="C21" i="9"/>
  <c r="J7" i="8"/>
  <c r="J13" i="8"/>
  <c r="I13" i="8"/>
  <c r="I10" i="8"/>
  <c r="I7" i="8"/>
  <c r="K7" i="8" s="1"/>
  <c r="G12" i="8"/>
  <c r="G13" i="8"/>
  <c r="G7" i="8"/>
  <c r="E2" i="8"/>
  <c r="F10" i="8"/>
  <c r="J10" i="8" s="1"/>
  <c r="K10" i="8" s="1"/>
  <c r="E10" i="8"/>
  <c r="X8" i="9" l="1"/>
  <c r="I8" i="9" s="1"/>
  <c r="H8" i="9"/>
  <c r="U9" i="9"/>
  <c r="F10" i="9"/>
  <c r="W9" i="9"/>
  <c r="K13" i="8"/>
  <c r="G10" i="8"/>
  <c r="K16" i="8"/>
  <c r="G17" i="8" s="1"/>
  <c r="E3" i="8"/>
  <c r="E4" i="8" s="1"/>
  <c r="E16" i="8"/>
  <c r="I16" i="8"/>
  <c r="E17" i="8" s="1"/>
  <c r="O41" i="2"/>
  <c r="M107" i="1"/>
  <c r="F11" i="9" l="1"/>
  <c r="U11" i="9" s="1"/>
  <c r="U10" i="9"/>
  <c r="W10" i="9"/>
  <c r="X9" i="9"/>
  <c r="H9" i="9"/>
  <c r="E18" i="8"/>
  <c r="M141" i="1"/>
  <c r="Y9" i="9" l="1"/>
  <c r="I9" i="9"/>
  <c r="X10" i="9"/>
  <c r="I10" i="9" s="1"/>
  <c r="H10" i="9"/>
  <c r="W11" i="9"/>
  <c r="U12" i="9"/>
  <c r="W12" i="9" l="1"/>
  <c r="X12" i="9" s="1"/>
  <c r="U13" i="9"/>
  <c r="X11" i="9"/>
  <c r="I11" i="9" s="1"/>
  <c r="H11" i="9"/>
  <c r="Y10" i="9"/>
  <c r="J9" i="9"/>
  <c r="AL28" i="1"/>
  <c r="AK28" i="1" s="1"/>
  <c r="AL29" i="1"/>
  <c r="AK29" i="1" s="1"/>
  <c r="AL43" i="1"/>
  <c r="AK43" i="1" s="1"/>
  <c r="AL44" i="1"/>
  <c r="AK44" i="1" s="1"/>
  <c r="AL45" i="1"/>
  <c r="AK45" i="1" s="1"/>
  <c r="AL78" i="1"/>
  <c r="AK78" i="1" s="1"/>
  <c r="AM28" i="1"/>
  <c r="AM29" i="1"/>
  <c r="AM44" i="1"/>
  <c r="AM45" i="1"/>
  <c r="AJ16" i="1"/>
  <c r="AM16" i="1" s="1"/>
  <c r="AJ21" i="1"/>
  <c r="AM21" i="1" s="1"/>
  <c r="AJ27" i="1"/>
  <c r="AM27" i="1" s="1"/>
  <c r="AJ30" i="1"/>
  <c r="AM30" i="1" s="1"/>
  <c r="AJ31" i="1"/>
  <c r="AM31" i="1" s="1"/>
  <c r="AJ43" i="1"/>
  <c r="AM43" i="1" s="1"/>
  <c r="AJ46" i="1"/>
  <c r="AL46" i="1" s="1"/>
  <c r="AK46" i="1" s="1"/>
  <c r="AJ47" i="1"/>
  <c r="AM47" i="1" s="1"/>
  <c r="AJ55" i="1"/>
  <c r="AM55" i="1" s="1"/>
  <c r="AJ66" i="1"/>
  <c r="AM66" i="1" s="1"/>
  <c r="AJ68" i="1"/>
  <c r="AM68" i="1" s="1"/>
  <c r="AJ69" i="1"/>
  <c r="AM69" i="1" s="1"/>
  <c r="AJ70" i="1"/>
  <c r="AM70" i="1" s="1"/>
  <c r="AJ77" i="1"/>
  <c r="AM77" i="1" s="1"/>
  <c r="U14" i="9" l="1"/>
  <c r="W13" i="9"/>
  <c r="X13" i="9" s="1"/>
  <c r="J10" i="9"/>
  <c r="Y11" i="9"/>
  <c r="AL27" i="1"/>
  <c r="AK27" i="1" s="1"/>
  <c r="AL31" i="1"/>
  <c r="AK31" i="1" s="1"/>
  <c r="AM46" i="1"/>
  <c r="AL70" i="1"/>
  <c r="AK70" i="1" s="1"/>
  <c r="AL66" i="1"/>
  <c r="AK66" i="1" s="1"/>
  <c r="AL30" i="1"/>
  <c r="AK30" i="1" s="1"/>
  <c r="AL77" i="1"/>
  <c r="AK77" i="1" s="1"/>
  <c r="AL69" i="1"/>
  <c r="AK69" i="1" s="1"/>
  <c r="AL21" i="1"/>
  <c r="AK21" i="1" s="1"/>
  <c r="AL68" i="1"/>
  <c r="AK68" i="1" s="1"/>
  <c r="AL16" i="1"/>
  <c r="AK16" i="1" s="1"/>
  <c r="AL55" i="1"/>
  <c r="AK55" i="1" s="1"/>
  <c r="AL47" i="1"/>
  <c r="AK47" i="1" s="1"/>
  <c r="V137" i="1"/>
  <c r="W138" i="1" s="1"/>
  <c r="F149" i="1"/>
  <c r="V138" i="1" s="1"/>
  <c r="J11" i="9" l="1"/>
  <c r="Y12" i="9"/>
  <c r="U15" i="9"/>
  <c r="W14" i="9"/>
  <c r="X14" i="9" s="1"/>
  <c r="AG78" i="1"/>
  <c r="AH78" i="1"/>
  <c r="E144" i="1"/>
  <c r="U16" i="9" l="1"/>
  <c r="W16" i="9" s="1"/>
  <c r="X16" i="9" s="1"/>
  <c r="W15" i="9"/>
  <c r="X15" i="9" s="1"/>
  <c r="O78" i="1"/>
  <c r="O44" i="1"/>
  <c r="P154" i="1" l="1"/>
  <c r="R154" i="1" s="1"/>
  <c r="P105" i="1"/>
  <c r="R105" i="1" s="1"/>
  <c r="N147" i="1"/>
  <c r="R147" i="1" s="1"/>
  <c r="V147" i="1" s="1"/>
  <c r="Y147" i="1" s="1"/>
  <c r="N150" i="1"/>
  <c r="R150" i="1" s="1"/>
  <c r="V150" i="1" s="1"/>
  <c r="Y150" i="1" s="1"/>
  <c r="Q146" i="1"/>
  <c r="E146" i="1" l="1"/>
  <c r="E147" i="1" s="1"/>
  <c r="F130" i="1"/>
  <c r="N28" i="1"/>
  <c r="M138" i="1" l="1"/>
  <c r="P138" i="1" s="1"/>
  <c r="R138" i="1" s="1"/>
  <c r="G28" i="1"/>
  <c r="D28" i="1"/>
  <c r="B27" i="1"/>
  <c r="C27" i="1"/>
  <c r="B71" i="1" l="1"/>
  <c r="C71" i="1" s="1"/>
  <c r="D71" i="1"/>
  <c r="D72" i="1" s="1"/>
  <c r="B72" i="1"/>
  <c r="C72" i="1" s="1"/>
  <c r="E10" i="7" l="1"/>
  <c r="H8" i="7"/>
  <c r="H42" i="7"/>
  <c r="H10" i="7"/>
  <c r="K8" i="7"/>
  <c r="G8" i="7" l="1"/>
  <c r="H12" i="7"/>
  <c r="H13" i="7"/>
  <c r="H15" i="7"/>
  <c r="K27" i="7"/>
  <c r="J8" i="7"/>
  <c r="K42" i="7" l="1"/>
  <c r="K33" i="7"/>
  <c r="K40" i="7"/>
  <c r="D8" i="7"/>
  <c r="C8" i="7"/>
  <c r="H28" i="7"/>
  <c r="E28" i="7" s="1"/>
  <c r="K18" i="7"/>
  <c r="K19" i="7"/>
  <c r="K20" i="7"/>
  <c r="K21" i="7"/>
  <c r="K22" i="7"/>
  <c r="K23" i="7"/>
  <c r="K24" i="7"/>
  <c r="K25" i="7"/>
  <c r="K30" i="7"/>
  <c r="K31" i="7"/>
  <c r="K36" i="7"/>
  <c r="K37" i="7"/>
  <c r="K38" i="7"/>
  <c r="H17" i="7"/>
  <c r="K17" i="7" s="1"/>
  <c r="H16" i="7"/>
  <c r="K16" i="7" s="1"/>
  <c r="K15" i="7"/>
  <c r="H14" i="7"/>
  <c r="K14" i="7" s="1"/>
  <c r="K12" i="7"/>
  <c r="H34" i="7"/>
  <c r="E34" i="7" s="1"/>
  <c r="I34" i="7"/>
  <c r="I28" i="7" s="1"/>
  <c r="H2" i="7"/>
  <c r="I10" i="7"/>
  <c r="I42" i="7" s="1"/>
  <c r="I8" i="7" s="1"/>
  <c r="B60" i="1"/>
  <c r="B55" i="1"/>
  <c r="C55" i="1" s="1"/>
  <c r="E8" i="7" l="1"/>
  <c r="E5" i="7" s="1"/>
  <c r="K13" i="7"/>
  <c r="F133" i="1"/>
  <c r="J133" i="1" s="1"/>
  <c r="F132" i="1"/>
  <c r="J132" i="1" s="1"/>
  <c r="F131" i="1"/>
  <c r="J131" i="1" s="1"/>
  <c r="J130" i="1"/>
  <c r="F129" i="1"/>
  <c r="J129" i="1" s="1"/>
  <c r="F99" i="1"/>
  <c r="F101" i="1"/>
  <c r="F100" i="1"/>
  <c r="N130" i="1" l="1"/>
  <c r="J103" i="1"/>
  <c r="J136" i="1"/>
  <c r="AF29" i="1"/>
  <c r="AF30" i="1"/>
  <c r="AF31" i="1"/>
  <c r="AF45" i="1"/>
  <c r="AF46" i="1"/>
  <c r="AF49" i="1"/>
  <c r="AC28" i="1"/>
  <c r="AC44" i="1"/>
  <c r="AC78" i="1"/>
  <c r="AE50" i="1" l="1"/>
  <c r="AF50" i="1" s="1"/>
  <c r="AE51" i="1"/>
  <c r="AF51" i="1" s="1"/>
  <c r="AE52" i="1"/>
  <c r="AF52" i="1" s="1"/>
  <c r="AE54" i="1"/>
  <c r="AF54" i="1" s="1"/>
  <c r="AE56" i="1"/>
  <c r="AF56" i="1" s="1"/>
  <c r="AE57" i="1"/>
  <c r="AF57" i="1" s="1"/>
  <c r="AE58" i="1"/>
  <c r="AF58" i="1" s="1"/>
  <c r="AE59" i="1"/>
  <c r="AF59" i="1" s="1"/>
  <c r="AE60" i="1"/>
  <c r="AF60" i="1" s="1"/>
  <c r="AE61" i="1"/>
  <c r="AF61" i="1" s="1"/>
  <c r="AE62" i="1"/>
  <c r="AF62" i="1" s="1"/>
  <c r="AE63" i="1"/>
  <c r="AF63" i="1" s="1"/>
  <c r="AE64" i="1"/>
  <c r="AF64" i="1" s="1"/>
  <c r="AE65" i="1"/>
  <c r="AF65" i="1" s="1"/>
  <c r="AE66" i="1"/>
  <c r="AF66" i="1" s="1"/>
  <c r="AE67" i="1"/>
  <c r="AF67" i="1" s="1"/>
  <c r="AE71" i="1"/>
  <c r="AF71" i="1" s="1"/>
  <c r="AE72" i="1"/>
  <c r="AF72" i="1" s="1"/>
  <c r="AE73" i="1"/>
  <c r="AF73" i="1" s="1"/>
  <c r="AE74" i="1"/>
  <c r="AF74" i="1" s="1"/>
  <c r="AE75" i="1"/>
  <c r="AF75" i="1" s="1"/>
  <c r="AE76" i="1"/>
  <c r="AF76" i="1" s="1"/>
  <c r="AE77" i="1"/>
  <c r="AF77" i="1" s="1"/>
  <c r="AE48" i="1"/>
  <c r="AF48" i="1" s="1"/>
  <c r="AE33" i="1"/>
  <c r="AF33" i="1" s="1"/>
  <c r="AE34" i="1"/>
  <c r="AF34" i="1" s="1"/>
  <c r="AE35" i="1"/>
  <c r="AF35" i="1" s="1"/>
  <c r="AE36" i="1"/>
  <c r="AF36" i="1" s="1"/>
  <c r="AE37" i="1"/>
  <c r="AF37" i="1" s="1"/>
  <c r="AE38" i="1"/>
  <c r="AF38" i="1" s="1"/>
  <c r="AF39" i="1"/>
  <c r="AE40" i="1"/>
  <c r="AF40" i="1" s="1"/>
  <c r="AE41" i="1"/>
  <c r="AF41" i="1" s="1"/>
  <c r="AE42" i="1"/>
  <c r="AF42" i="1" s="1"/>
  <c r="AE43" i="1"/>
  <c r="AF43" i="1" s="1"/>
  <c r="AE32" i="1"/>
  <c r="AE6" i="1"/>
  <c r="AF6" i="1" s="1"/>
  <c r="AE7" i="1"/>
  <c r="AF7" i="1" s="1"/>
  <c r="AE8" i="1"/>
  <c r="AF8" i="1" s="1"/>
  <c r="AE9" i="1"/>
  <c r="AF9" i="1" s="1"/>
  <c r="AE10" i="1"/>
  <c r="AF10" i="1" s="1"/>
  <c r="AE11" i="1"/>
  <c r="AF11" i="1" s="1"/>
  <c r="AE12" i="1"/>
  <c r="AF12" i="1" s="1"/>
  <c r="AE13" i="1"/>
  <c r="AF13" i="1" s="1"/>
  <c r="AE14" i="1"/>
  <c r="AF14" i="1" s="1"/>
  <c r="AE15" i="1"/>
  <c r="AF15" i="1" s="1"/>
  <c r="AE16" i="1"/>
  <c r="AF16" i="1" s="1"/>
  <c r="AE17" i="1"/>
  <c r="AF17" i="1" s="1"/>
  <c r="AE18" i="1"/>
  <c r="AF18" i="1" s="1"/>
  <c r="AE20" i="1"/>
  <c r="AF20" i="1" s="1"/>
  <c r="AE21" i="1"/>
  <c r="AF21" i="1" s="1"/>
  <c r="AE22" i="1"/>
  <c r="AF22" i="1" s="1"/>
  <c r="AE23" i="1"/>
  <c r="AF23" i="1" s="1"/>
  <c r="AE24" i="1"/>
  <c r="AF24" i="1" s="1"/>
  <c r="AE25" i="1"/>
  <c r="AF25" i="1" s="1"/>
  <c r="AE26" i="1"/>
  <c r="AF26" i="1" s="1"/>
  <c r="AE5" i="1"/>
  <c r="AF5" i="1" s="1"/>
  <c r="AF32" i="1" l="1"/>
  <c r="AE44" i="1"/>
  <c r="AF44" i="1"/>
  <c r="AF83" i="1" s="1"/>
  <c r="AF90" i="1" s="1"/>
  <c r="AE47" i="1"/>
  <c r="AE81" i="1"/>
  <c r="N22" i="6" l="1"/>
  <c r="O22" i="6"/>
  <c r="P22" i="6"/>
  <c r="Q22" i="6"/>
  <c r="R22" i="6"/>
  <c r="U22" i="6"/>
  <c r="V22" i="6"/>
  <c r="N23" i="6"/>
  <c r="O23" i="6"/>
  <c r="P23" i="6"/>
  <c r="Q23" i="6"/>
  <c r="R23" i="6"/>
  <c r="S23" i="6"/>
  <c r="U23" i="6"/>
  <c r="V23" i="6"/>
  <c r="N24" i="6"/>
  <c r="O24" i="6"/>
  <c r="P24" i="6"/>
  <c r="Q24" i="6"/>
  <c r="R24" i="6"/>
  <c r="S24" i="6"/>
  <c r="U24" i="6"/>
  <c r="V24" i="6"/>
  <c r="N25" i="6"/>
  <c r="O25" i="6"/>
  <c r="P25" i="6"/>
  <c r="Q25" i="6"/>
  <c r="R25" i="6"/>
  <c r="S25" i="6"/>
  <c r="U25" i="6"/>
  <c r="V25" i="6"/>
  <c r="N26" i="6"/>
  <c r="O26" i="6"/>
  <c r="P26" i="6"/>
  <c r="Q26" i="6"/>
  <c r="R26" i="6"/>
  <c r="S26" i="6"/>
  <c r="V26" i="6"/>
  <c r="N27" i="6"/>
  <c r="O27" i="6"/>
  <c r="P27" i="6"/>
  <c r="Q27" i="6"/>
  <c r="R27" i="6"/>
  <c r="S27" i="6"/>
  <c r="U27" i="6"/>
  <c r="V27" i="6"/>
  <c r="N28" i="6"/>
  <c r="O28" i="6"/>
  <c r="P28" i="6"/>
  <c r="Q28" i="6"/>
  <c r="R28" i="6"/>
  <c r="S28" i="6"/>
  <c r="U28" i="6"/>
  <c r="V28" i="6"/>
  <c r="N29" i="6"/>
  <c r="O29" i="6"/>
  <c r="P29" i="6"/>
  <c r="Q29" i="6"/>
  <c r="R29" i="6"/>
  <c r="S29" i="6"/>
  <c r="T29" i="6"/>
  <c r="U29" i="6"/>
  <c r="V29" i="6"/>
  <c r="N15" i="6"/>
  <c r="P14" i="6"/>
  <c r="Q14" i="6"/>
  <c r="R14" i="6"/>
  <c r="S14" i="6"/>
  <c r="U14" i="6"/>
  <c r="V14" i="6"/>
  <c r="P15" i="6"/>
  <c r="Q15" i="6"/>
  <c r="R15" i="6"/>
  <c r="S15" i="6"/>
  <c r="U15" i="6"/>
  <c r="V15" i="6"/>
  <c r="P16" i="6"/>
  <c r="Q16" i="6"/>
  <c r="R16" i="6"/>
  <c r="S16" i="6"/>
  <c r="U16" i="6"/>
  <c r="V16" i="6"/>
  <c r="P17" i="6"/>
  <c r="Q17" i="6"/>
  <c r="R17" i="6"/>
  <c r="S17" i="6"/>
  <c r="U17" i="6"/>
  <c r="V17" i="6"/>
  <c r="P18" i="6"/>
  <c r="Q18" i="6"/>
  <c r="R18" i="6"/>
  <c r="S18" i="6"/>
  <c r="U18" i="6"/>
  <c r="V18" i="6"/>
  <c r="P19" i="6"/>
  <c r="Q19" i="6"/>
  <c r="R19" i="6"/>
  <c r="S19" i="6"/>
  <c r="U19" i="6"/>
  <c r="V19" i="6"/>
  <c r="P20" i="6"/>
  <c r="Q20" i="6"/>
  <c r="R20" i="6"/>
  <c r="S20" i="6"/>
  <c r="U20" i="6"/>
  <c r="V20" i="6"/>
  <c r="P21" i="6"/>
  <c r="Q21" i="6"/>
  <c r="R21" i="6"/>
  <c r="S21" i="6"/>
  <c r="T21" i="6"/>
  <c r="V21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O29" i="4" l="1"/>
  <c r="U17" i="4" s="1"/>
  <c r="AE22" i="2"/>
  <c r="AE21" i="2"/>
  <c r="AE20" i="2"/>
  <c r="AE19" i="2"/>
  <c r="AE18" i="2"/>
  <c r="B48" i="1" l="1"/>
  <c r="AA41" i="2" l="1"/>
  <c r="Z41" i="2"/>
  <c r="V41" i="2"/>
  <c r="N126" i="1" l="1"/>
  <c r="P126" i="1"/>
  <c r="I126" i="1"/>
  <c r="N125" i="1"/>
  <c r="P125" i="1"/>
  <c r="R125" i="1" s="1"/>
  <c r="I125" i="1"/>
  <c r="N124" i="1"/>
  <c r="P124" i="1"/>
  <c r="I124" i="1"/>
  <c r="N122" i="1"/>
  <c r="P122" i="1"/>
  <c r="I122" i="1"/>
  <c r="P123" i="1"/>
  <c r="I123" i="1"/>
  <c r="AB78" i="1" l="1"/>
  <c r="AB46" i="1"/>
  <c r="AB44" i="1"/>
  <c r="AB30" i="1"/>
  <c r="AB28" i="1"/>
  <c r="O100" i="1"/>
  <c r="CH84" i="1"/>
  <c r="V53" i="1"/>
  <c r="V44" i="1"/>
  <c r="V90" i="1" s="1"/>
  <c r="V19" i="1"/>
  <c r="N78" i="1"/>
  <c r="N90" i="1" s="1"/>
  <c r="N44" i="1"/>
  <c r="N89" i="1"/>
  <c r="M78" i="1"/>
  <c r="M90" i="1" s="1"/>
  <c r="M44" i="1"/>
  <c r="M28" i="1"/>
  <c r="M89" i="1" s="1"/>
  <c r="G78" i="1"/>
  <c r="G90" i="1" s="1"/>
  <c r="G44" i="1"/>
  <c r="G91" i="1" s="1"/>
  <c r="G89" i="1"/>
  <c r="V78" i="1" l="1"/>
  <c r="V91" i="1" s="1"/>
  <c r="AE53" i="1"/>
  <c r="V28" i="1"/>
  <c r="AE19" i="1"/>
  <c r="AB82" i="1"/>
  <c r="M82" i="1"/>
  <c r="N82" i="1"/>
  <c r="N93" i="1" s="1"/>
  <c r="N91" i="1"/>
  <c r="M91" i="1"/>
  <c r="M93" i="1" s="1"/>
  <c r="G93" i="1"/>
  <c r="BY84" i="1" s="1"/>
  <c r="V82" i="1" l="1"/>
  <c r="V89" i="1"/>
  <c r="V93" i="1" s="1"/>
  <c r="O95" i="1" s="1"/>
  <c r="AF53" i="1"/>
  <c r="AF78" i="1" s="1"/>
  <c r="AF84" i="1" s="1"/>
  <c r="AF91" i="1" s="1"/>
  <c r="AE78" i="1"/>
  <c r="AF19" i="1"/>
  <c r="AF28" i="1" s="1"/>
  <c r="AF82" i="1" s="1"/>
  <c r="AF89" i="1" s="1"/>
  <c r="AE28" i="1"/>
  <c r="M95" i="1"/>
  <c r="BY46" i="1"/>
  <c r="AF93" i="1" l="1"/>
  <c r="AB94" i="1" s="1"/>
  <c r="L116" i="1" s="1"/>
  <c r="AE82" i="1"/>
  <c r="X74" i="1" l="1"/>
  <c r="U26" i="6" s="1"/>
  <c r="S71" i="1"/>
  <c r="S72" i="1"/>
  <c r="S73" i="1"/>
  <c r="S74" i="1"/>
  <c r="S75" i="1"/>
  <c r="T24" i="6" l="1"/>
  <c r="AJ72" i="1"/>
  <c r="T23" i="6"/>
  <c r="AJ71" i="1"/>
  <c r="T25" i="6"/>
  <c r="AJ73" i="1"/>
  <c r="T27" i="6"/>
  <c r="AJ75" i="1"/>
  <c r="T26" i="6"/>
  <c r="AJ74" i="1"/>
  <c r="P6" i="6"/>
  <c r="P7" i="6"/>
  <c r="P8" i="6"/>
  <c r="P9" i="6"/>
  <c r="P10" i="6"/>
  <c r="P11" i="6"/>
  <c r="P12" i="6"/>
  <c r="P13" i="6"/>
  <c r="P5" i="6"/>
  <c r="P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AM75" i="1" l="1"/>
  <c r="AL75" i="1"/>
  <c r="AK75" i="1" s="1"/>
  <c r="AM74" i="1"/>
  <c r="AL74" i="1"/>
  <c r="AK74" i="1" s="1"/>
  <c r="AM73" i="1"/>
  <c r="AL73" i="1"/>
  <c r="AK73" i="1" s="1"/>
  <c r="AM72" i="1"/>
  <c r="AL72" i="1"/>
  <c r="AK72" i="1" s="1"/>
  <c r="AM71" i="1"/>
  <c r="AL71" i="1"/>
  <c r="AK71" i="1" s="1"/>
  <c r="AB90" i="1"/>
  <c r="K114" i="1" s="1"/>
  <c r="AB91" i="1"/>
  <c r="L114" i="1" s="1"/>
  <c r="AB89" i="1" l="1"/>
  <c r="J81" i="1"/>
  <c r="C10" i="1"/>
  <c r="C14" i="1"/>
  <c r="C23" i="1"/>
  <c r="C25" i="1"/>
  <c r="C29" i="1"/>
  <c r="C32" i="1"/>
  <c r="C41" i="1"/>
  <c r="C48" i="1"/>
  <c r="C52" i="1"/>
  <c r="C60" i="1"/>
  <c r="C86" i="1"/>
  <c r="C89" i="1" l="1"/>
  <c r="CA28" i="1"/>
  <c r="AB93" i="1"/>
  <c r="AB100" i="1" s="1"/>
  <c r="J114" i="1"/>
  <c r="C81" i="1"/>
  <c r="B7" i="1"/>
  <c r="C7" i="1" s="1"/>
  <c r="B8" i="1"/>
  <c r="C8" i="1" s="1"/>
  <c r="B9" i="1"/>
  <c r="C9" i="1" s="1"/>
  <c r="B10" i="1"/>
  <c r="B11" i="1"/>
  <c r="C11" i="1" s="1"/>
  <c r="B12" i="1"/>
  <c r="C12" i="1" s="1"/>
  <c r="B13" i="1"/>
  <c r="C13" i="1" s="1"/>
  <c r="B14" i="1"/>
  <c r="B15" i="1"/>
  <c r="C15" i="1" s="1"/>
  <c r="B16" i="1"/>
  <c r="C16" i="1" s="1"/>
  <c r="B17" i="1"/>
  <c r="C17" i="1" s="1"/>
  <c r="B18" i="1"/>
  <c r="C18" i="1" s="1"/>
  <c r="B19" i="1"/>
  <c r="C19" i="1" s="1"/>
  <c r="B20" i="1"/>
  <c r="C20" i="1" s="1"/>
  <c r="B21" i="1"/>
  <c r="C21" i="1" s="1"/>
  <c r="B22" i="1"/>
  <c r="C22" i="1" s="1"/>
  <c r="B23" i="1"/>
  <c r="B24" i="1"/>
  <c r="C24" i="1" s="1"/>
  <c r="B26" i="1"/>
  <c r="C26" i="1" s="1"/>
  <c r="B50" i="1"/>
  <c r="C50" i="1" s="1"/>
  <c r="B51" i="1"/>
  <c r="C51" i="1" s="1"/>
  <c r="B52" i="1"/>
  <c r="B53" i="1"/>
  <c r="C53" i="1" s="1"/>
  <c r="B54" i="1"/>
  <c r="C54" i="1" s="1"/>
  <c r="B56" i="1"/>
  <c r="C56" i="1" s="1"/>
  <c r="B57" i="1"/>
  <c r="C57" i="1" s="1"/>
  <c r="B58" i="1"/>
  <c r="C58" i="1" s="1"/>
  <c r="B59" i="1"/>
  <c r="C59" i="1" s="1"/>
  <c r="B61" i="1"/>
  <c r="C61" i="1" s="1"/>
  <c r="B62" i="1"/>
  <c r="C62" i="1" s="1"/>
  <c r="B63" i="1"/>
  <c r="C63" i="1" s="1"/>
  <c r="B64" i="1"/>
  <c r="C64" i="1" s="1"/>
  <c r="B65" i="1"/>
  <c r="C65" i="1" s="1"/>
  <c r="B66" i="1"/>
  <c r="C66" i="1" s="1"/>
  <c r="B67" i="1"/>
  <c r="C67" i="1" s="1"/>
  <c r="B73" i="1"/>
  <c r="C73" i="1" s="1"/>
  <c r="B74" i="1"/>
  <c r="C74" i="1" s="1"/>
  <c r="B75" i="1"/>
  <c r="C75" i="1" s="1"/>
  <c r="B76" i="1"/>
  <c r="C76" i="1" s="1"/>
  <c r="B77" i="1"/>
  <c r="C77" i="1" s="1"/>
  <c r="AB95" i="1" l="1"/>
  <c r="L115" i="1"/>
  <c r="Q28" i="1"/>
  <c r="X28" i="1"/>
  <c r="Y28" i="1"/>
  <c r="AO28" i="1"/>
  <c r="AP28" i="1"/>
  <c r="J31" i="1"/>
  <c r="J47" i="1" s="1"/>
  <c r="O115" i="1" l="1"/>
  <c r="N116" i="1"/>
  <c r="O114" i="1"/>
  <c r="O116" i="1" s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5" i="1"/>
  <c r="AR49" i="1" l="1"/>
  <c r="AR50" i="1"/>
  <c r="AR51" i="1"/>
  <c r="AR52" i="1"/>
  <c r="AR53" i="1"/>
  <c r="AR54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71" i="1"/>
  <c r="AR72" i="1"/>
  <c r="AR73" i="1"/>
  <c r="AR74" i="1"/>
  <c r="AR75" i="1"/>
  <c r="AR76" i="1"/>
  <c r="AR77" i="1"/>
  <c r="AT49" i="1"/>
  <c r="AT50" i="1"/>
  <c r="AT51" i="1"/>
  <c r="AT52" i="1"/>
  <c r="AT53" i="1"/>
  <c r="AT54" i="1"/>
  <c r="AT56" i="1"/>
  <c r="AT57" i="1"/>
  <c r="AT58" i="1"/>
  <c r="AT59" i="1"/>
  <c r="AT60" i="1"/>
  <c r="AT61" i="1"/>
  <c r="AT62" i="1"/>
  <c r="AT63" i="1"/>
  <c r="AT64" i="1"/>
  <c r="AT65" i="1"/>
  <c r="AT66" i="1"/>
  <c r="AT71" i="1"/>
  <c r="AT72" i="1"/>
  <c r="AT73" i="1"/>
  <c r="AT74" i="1"/>
  <c r="AT75" i="1"/>
  <c r="AT76" i="1"/>
  <c r="AT77" i="1"/>
  <c r="AT33" i="1"/>
  <c r="AT34" i="1"/>
  <c r="AT35" i="1"/>
  <c r="AT36" i="1"/>
  <c r="AT37" i="1"/>
  <c r="AT38" i="1"/>
  <c r="AT39" i="1"/>
  <c r="AT40" i="1"/>
  <c r="AT41" i="1"/>
  <c r="AT42" i="1"/>
  <c r="AT43" i="1"/>
  <c r="AT6" i="1"/>
  <c r="AT7" i="1"/>
  <c r="AT8" i="1"/>
  <c r="AT9" i="1"/>
  <c r="AT10" i="1"/>
  <c r="AT11" i="1"/>
  <c r="AT13" i="1"/>
  <c r="AT14" i="1"/>
  <c r="AT15" i="1"/>
  <c r="AT16" i="1"/>
  <c r="AT17" i="1"/>
  <c r="AT18" i="1"/>
  <c r="AT19" i="1"/>
  <c r="AT20" i="1"/>
  <c r="AT21" i="1"/>
  <c r="AT22" i="1"/>
  <c r="AT23" i="1"/>
  <c r="AT25" i="1"/>
  <c r="AT26" i="1"/>
  <c r="AR33" i="1"/>
  <c r="AS33" i="1"/>
  <c r="AR34" i="1"/>
  <c r="AS34" i="1"/>
  <c r="AR35" i="1"/>
  <c r="AS35" i="1"/>
  <c r="AR36" i="1"/>
  <c r="AS36" i="1"/>
  <c r="AR37" i="1"/>
  <c r="AS37" i="1"/>
  <c r="AR38" i="1"/>
  <c r="AS38" i="1"/>
  <c r="AR39" i="1"/>
  <c r="AS39" i="1"/>
  <c r="AR40" i="1"/>
  <c r="AS40" i="1"/>
  <c r="AR41" i="1"/>
  <c r="AS41" i="1"/>
  <c r="AR42" i="1"/>
  <c r="AS42" i="1"/>
  <c r="AR43" i="1"/>
  <c r="AS43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S49" i="1"/>
  <c r="AS50" i="1"/>
  <c r="AS51" i="1"/>
  <c r="AS52" i="1"/>
  <c r="AS53" i="1"/>
  <c r="AS54" i="1"/>
  <c r="AS56" i="1"/>
  <c r="AS57" i="1"/>
  <c r="AS58" i="1"/>
  <c r="AS59" i="1"/>
  <c r="AS60" i="1"/>
  <c r="AS61" i="1"/>
  <c r="AS62" i="1"/>
  <c r="AS63" i="1"/>
  <c r="AS64" i="1"/>
  <c r="AS65" i="1"/>
  <c r="AS67" i="1"/>
  <c r="AS71" i="1"/>
  <c r="AS72" i="1"/>
  <c r="AS73" i="1"/>
  <c r="AS74" i="1"/>
  <c r="AS75" i="1"/>
  <c r="AS76" i="1"/>
  <c r="AS77" i="1"/>
  <c r="CI44" i="1" l="1"/>
  <c r="E82" i="1" l="1"/>
  <c r="B36" i="1"/>
  <c r="C36" i="1" s="1"/>
  <c r="K78" i="1"/>
  <c r="K82" i="1" s="1"/>
  <c r="CI28" i="1" l="1"/>
  <c r="AA5" i="6" l="1"/>
  <c r="AA6" i="6"/>
  <c r="AA7" i="6"/>
  <c r="AA8" i="6"/>
  <c r="AA9" i="6"/>
  <c r="AA10" i="6"/>
  <c r="AA11" i="6"/>
  <c r="AA12" i="6"/>
  <c r="AA13" i="6"/>
  <c r="AA14" i="6"/>
  <c r="AA15" i="6"/>
  <c r="Z5" i="6"/>
  <c r="AB5" i="6"/>
  <c r="Z6" i="6"/>
  <c r="AB6" i="6"/>
  <c r="Z7" i="6"/>
  <c r="AB7" i="6"/>
  <c r="Z8" i="6"/>
  <c r="AB8" i="6"/>
  <c r="Z9" i="6"/>
  <c r="AB9" i="6"/>
  <c r="Z10" i="6"/>
  <c r="AB10" i="6"/>
  <c r="Z11" i="6"/>
  <c r="AB11" i="6"/>
  <c r="Z12" i="6"/>
  <c r="AB12" i="6"/>
  <c r="Z13" i="6"/>
  <c r="AB13" i="6"/>
  <c r="Z14" i="6"/>
  <c r="AB14" i="6"/>
  <c r="Z15" i="6"/>
  <c r="AB15" i="6"/>
  <c r="AB4" i="6"/>
  <c r="AA4" i="6"/>
  <c r="Z4" i="6"/>
  <c r="Q5" i="6"/>
  <c r="Q6" i="6"/>
  <c r="Q7" i="6"/>
  <c r="Q8" i="6"/>
  <c r="Q9" i="6"/>
  <c r="Q10" i="6"/>
  <c r="Q11" i="6"/>
  <c r="Q12" i="6"/>
  <c r="Q13" i="6"/>
  <c r="Q4" i="6"/>
  <c r="O4" i="6"/>
  <c r="N21" i="6"/>
  <c r="M5" i="6"/>
  <c r="N5" i="6"/>
  <c r="R5" i="6"/>
  <c r="S5" i="6"/>
  <c r="U5" i="6"/>
  <c r="V5" i="6"/>
  <c r="M6" i="6"/>
  <c r="N6" i="6"/>
  <c r="R6" i="6"/>
  <c r="S6" i="6"/>
  <c r="U6" i="6"/>
  <c r="V6" i="6"/>
  <c r="M7" i="6"/>
  <c r="N7" i="6"/>
  <c r="R7" i="6"/>
  <c r="S7" i="6"/>
  <c r="U7" i="6"/>
  <c r="V7" i="6"/>
  <c r="M8" i="6"/>
  <c r="N8" i="6"/>
  <c r="R8" i="6"/>
  <c r="S8" i="6"/>
  <c r="U8" i="6"/>
  <c r="V8" i="6"/>
  <c r="M9" i="6"/>
  <c r="N9" i="6"/>
  <c r="R9" i="6"/>
  <c r="S9" i="6"/>
  <c r="U9" i="6"/>
  <c r="V9" i="6"/>
  <c r="M10" i="6"/>
  <c r="N10" i="6"/>
  <c r="R10" i="6"/>
  <c r="S10" i="6"/>
  <c r="U10" i="6"/>
  <c r="V10" i="6"/>
  <c r="M11" i="6"/>
  <c r="N11" i="6"/>
  <c r="R11" i="6"/>
  <c r="S11" i="6"/>
  <c r="U11" i="6"/>
  <c r="V11" i="6"/>
  <c r="M12" i="6"/>
  <c r="N12" i="6"/>
  <c r="R12" i="6"/>
  <c r="S12" i="6"/>
  <c r="U12" i="6"/>
  <c r="V12" i="6"/>
  <c r="M13" i="6"/>
  <c r="N13" i="6"/>
  <c r="R13" i="6"/>
  <c r="S13" i="6"/>
  <c r="U13" i="6"/>
  <c r="V13" i="6"/>
  <c r="N14" i="6"/>
  <c r="N16" i="6"/>
  <c r="N17" i="6"/>
  <c r="N18" i="6"/>
  <c r="N19" i="6"/>
  <c r="N20" i="6"/>
  <c r="X5" i="6"/>
  <c r="Y5" i="6"/>
  <c r="AC5" i="6"/>
  <c r="AD5" i="6"/>
  <c r="AF5" i="6"/>
  <c r="AG5" i="6"/>
  <c r="X6" i="6"/>
  <c r="Y6" i="6"/>
  <c r="AC6" i="6"/>
  <c r="AD6" i="6"/>
  <c r="AF6" i="6"/>
  <c r="AG6" i="6"/>
  <c r="X7" i="6"/>
  <c r="Y7" i="6"/>
  <c r="AC7" i="6"/>
  <c r="AD7" i="6"/>
  <c r="AF7" i="6"/>
  <c r="AG7" i="6"/>
  <c r="X8" i="6"/>
  <c r="Y8" i="6"/>
  <c r="AC8" i="6"/>
  <c r="AD8" i="6"/>
  <c r="AF8" i="6"/>
  <c r="AG8" i="6"/>
  <c r="X9" i="6"/>
  <c r="Y9" i="6"/>
  <c r="AC9" i="6"/>
  <c r="AD9" i="6"/>
  <c r="AF9" i="6"/>
  <c r="AG9" i="6"/>
  <c r="X10" i="6"/>
  <c r="Y10" i="6"/>
  <c r="AC10" i="6"/>
  <c r="AD10" i="6"/>
  <c r="AF10" i="6"/>
  <c r="AG10" i="6"/>
  <c r="X11" i="6"/>
  <c r="Y11" i="6"/>
  <c r="AC11" i="6"/>
  <c r="AD11" i="6"/>
  <c r="AF11" i="6"/>
  <c r="AG11" i="6"/>
  <c r="X12" i="6"/>
  <c r="Y12" i="6"/>
  <c r="AC12" i="6"/>
  <c r="AD12" i="6"/>
  <c r="AF12" i="6"/>
  <c r="AG12" i="6"/>
  <c r="X13" i="6"/>
  <c r="AC13" i="6"/>
  <c r="AD13" i="6"/>
  <c r="AF13" i="6"/>
  <c r="AG13" i="6"/>
  <c r="X14" i="6"/>
  <c r="Y14" i="6"/>
  <c r="AC14" i="6"/>
  <c r="AD14" i="6"/>
  <c r="AF14" i="6"/>
  <c r="AG14" i="6"/>
  <c r="X15" i="6"/>
  <c r="Y15" i="6"/>
  <c r="AC15" i="6"/>
  <c r="AD15" i="6"/>
  <c r="AE15" i="6"/>
  <c r="AF15" i="6"/>
  <c r="AG15" i="6"/>
  <c r="S36" i="1"/>
  <c r="AW36" i="1"/>
  <c r="AX36" i="1"/>
  <c r="AE8" i="6" l="1"/>
  <c r="AJ36" i="1"/>
  <c r="S60" i="1"/>
  <c r="AW60" i="1"/>
  <c r="AX60" i="1"/>
  <c r="T15" i="6" l="1"/>
  <c r="AJ60" i="1"/>
  <c r="AM36" i="1"/>
  <c r="AL36" i="1"/>
  <c r="AK36" i="1" s="1"/>
  <c r="L28" i="1"/>
  <c r="AM60" i="1" l="1"/>
  <c r="AL60" i="1"/>
  <c r="AK60" i="1" s="1"/>
  <c r="R24" i="1"/>
  <c r="AT24" i="1" s="1"/>
  <c r="AP78" i="1" l="1"/>
  <c r="AP44" i="1"/>
  <c r="AP82" i="1" s="1"/>
  <c r="BD12" i="1"/>
  <c r="BJ12" i="1"/>
  <c r="AO44" i="1"/>
  <c r="BF100" i="1"/>
  <c r="BF101" i="1"/>
  <c r="BF103" i="1"/>
  <c r="BF104" i="1"/>
  <c r="BF105" i="1"/>
  <c r="BF107" i="1"/>
  <c r="BF108" i="1"/>
  <c r="BF109" i="1"/>
  <c r="BF110" i="1"/>
  <c r="BF111" i="1"/>
  <c r="BF99" i="1"/>
  <c r="AR5" i="1" l="1"/>
  <c r="AW6" i="1"/>
  <c r="AX6" i="1"/>
  <c r="AW7" i="1"/>
  <c r="AX7" i="1"/>
  <c r="AW8" i="1"/>
  <c r="AX8" i="1"/>
  <c r="AW9" i="1"/>
  <c r="AX9" i="1"/>
  <c r="AW10" i="1"/>
  <c r="AX10" i="1"/>
  <c r="AW11" i="1"/>
  <c r="AX11" i="1"/>
  <c r="AW12" i="1"/>
  <c r="AW13" i="1"/>
  <c r="AX13" i="1"/>
  <c r="AW14" i="1"/>
  <c r="AX14" i="1"/>
  <c r="AW15" i="1"/>
  <c r="AX15" i="1"/>
  <c r="AW16" i="1"/>
  <c r="AX16" i="1"/>
  <c r="AW17" i="1"/>
  <c r="AX17" i="1"/>
  <c r="AW18" i="1"/>
  <c r="AX18" i="1"/>
  <c r="AW19" i="1"/>
  <c r="AX19" i="1"/>
  <c r="AW20" i="1"/>
  <c r="AX20" i="1"/>
  <c r="AW21" i="1"/>
  <c r="AX21" i="1"/>
  <c r="AW22" i="1"/>
  <c r="AX22" i="1"/>
  <c r="AW23" i="1"/>
  <c r="AX23" i="1"/>
  <c r="AW24" i="1"/>
  <c r="AX24" i="1"/>
  <c r="AW25" i="1"/>
  <c r="AX25" i="1"/>
  <c r="AW26" i="1"/>
  <c r="AX26" i="1"/>
  <c r="AW48" i="1"/>
  <c r="AX48" i="1"/>
  <c r="AW49" i="1"/>
  <c r="AX49" i="1"/>
  <c r="AW50" i="1"/>
  <c r="AX50" i="1"/>
  <c r="AW51" i="1"/>
  <c r="AX51" i="1"/>
  <c r="AW52" i="1"/>
  <c r="AX52" i="1"/>
  <c r="AW53" i="1"/>
  <c r="AW54" i="1"/>
  <c r="AX54" i="1"/>
  <c r="AW56" i="1"/>
  <c r="AX56" i="1"/>
  <c r="AW57" i="1"/>
  <c r="AX57" i="1"/>
  <c r="AW58" i="1"/>
  <c r="AX58" i="1"/>
  <c r="AW59" i="1"/>
  <c r="AX59" i="1"/>
  <c r="AW61" i="1"/>
  <c r="AX61" i="1"/>
  <c r="AW62" i="1"/>
  <c r="AX62" i="1"/>
  <c r="AW63" i="1"/>
  <c r="AX63" i="1"/>
  <c r="AW64" i="1"/>
  <c r="AX64" i="1"/>
  <c r="AW65" i="1"/>
  <c r="AX65" i="1"/>
  <c r="AW66" i="1"/>
  <c r="AX66" i="1"/>
  <c r="AW67" i="1"/>
  <c r="AW71" i="1"/>
  <c r="AX71" i="1"/>
  <c r="AW72" i="1"/>
  <c r="AX72" i="1"/>
  <c r="AW73" i="1"/>
  <c r="AX73" i="1"/>
  <c r="AW74" i="1"/>
  <c r="AX74" i="1"/>
  <c r="AW75" i="1"/>
  <c r="AX75" i="1"/>
  <c r="AW76" i="1"/>
  <c r="AX76" i="1"/>
  <c r="AW32" i="1"/>
  <c r="AX32" i="1"/>
  <c r="AW33" i="1"/>
  <c r="AX33" i="1"/>
  <c r="AW34" i="1"/>
  <c r="AX34" i="1"/>
  <c r="AW35" i="1"/>
  <c r="AX35" i="1"/>
  <c r="AW37" i="1"/>
  <c r="AX37" i="1"/>
  <c r="AW38" i="1"/>
  <c r="AX38" i="1"/>
  <c r="AW39" i="1"/>
  <c r="AX39" i="1"/>
  <c r="AW40" i="1"/>
  <c r="AX40" i="1"/>
  <c r="AW41" i="1"/>
  <c r="AX41" i="1"/>
  <c r="AW42" i="1"/>
  <c r="AX42" i="1"/>
  <c r="AW43" i="1"/>
  <c r="AX43" i="1"/>
  <c r="AX5" i="1"/>
  <c r="AW5" i="1"/>
  <c r="AY65" i="1" l="1"/>
  <c r="AW88" i="1"/>
  <c r="N103" i="1" s="1"/>
  <c r="AW90" i="1"/>
  <c r="P103" i="1" s="1"/>
  <c r="AW89" i="1"/>
  <c r="O103" i="1" s="1"/>
  <c r="AW44" i="1"/>
  <c r="AY44" i="1" s="1"/>
  <c r="AR48" i="1"/>
  <c r="AR78" i="1" s="1"/>
  <c r="AR32" i="1"/>
  <c r="AR44" i="1" s="1"/>
  <c r="P45" i="1" s="1"/>
  <c r="AS32" i="1"/>
  <c r="AS44" i="1" s="1"/>
  <c r="AV67" i="1"/>
  <c r="AS48" i="1"/>
  <c r="AS78" i="1" s="1"/>
  <c r="AV48" i="1"/>
  <c r="Y44" i="1"/>
  <c r="Y91" i="1" s="1"/>
  <c r="AT5" i="1"/>
  <c r="AY66" i="1" l="1"/>
  <c r="AW91" i="1" s="1"/>
  <c r="AR45" i="1"/>
  <c r="P44" i="1" s="1"/>
  <c r="P79" i="1"/>
  <c r="N149" i="1" s="1"/>
  <c r="R149" i="1" s="1"/>
  <c r="V149" i="1" s="1"/>
  <c r="Y149" i="1" s="1"/>
  <c r="AR79" i="1"/>
  <c r="AR28" i="1"/>
  <c r="AS28" i="1"/>
  <c r="AA28" i="6"/>
  <c r="AC28" i="6"/>
  <c r="AG24" i="6"/>
  <c r="P78" i="1" l="1"/>
  <c r="N151" i="1" s="1"/>
  <c r="R151" i="1" s="1"/>
  <c r="V151" i="1" s="1"/>
  <c r="Y151" i="1" s="1"/>
  <c r="AR29" i="1"/>
  <c r="P28" i="1" s="1"/>
  <c r="AR82" i="1"/>
  <c r="P84" i="1" s="1"/>
  <c r="AS82" i="1"/>
  <c r="X82" i="1" s="1"/>
  <c r="X78" i="1"/>
  <c r="AX53" i="1"/>
  <c r="AZ65" i="1" s="1"/>
  <c r="AR84" i="1" l="1"/>
  <c r="P31" i="6" l="1"/>
  <c r="P29" i="1"/>
  <c r="N148" i="1" s="1"/>
  <c r="B6" i="1"/>
  <c r="C6" i="1" s="1"/>
  <c r="B49" i="1"/>
  <c r="B78" i="1" s="1"/>
  <c r="B30" i="1"/>
  <c r="C30" i="1" s="1"/>
  <c r="B31" i="1"/>
  <c r="C31" i="1" s="1"/>
  <c r="B32" i="1"/>
  <c r="B33" i="1"/>
  <c r="C33" i="1" s="1"/>
  <c r="B34" i="1"/>
  <c r="C34" i="1" s="1"/>
  <c r="B35" i="1"/>
  <c r="C35" i="1" s="1"/>
  <c r="B37" i="1"/>
  <c r="C37" i="1" s="1"/>
  <c r="B38" i="1"/>
  <c r="C38" i="1" s="1"/>
  <c r="B39" i="1"/>
  <c r="C39" i="1" s="1"/>
  <c r="B40" i="1"/>
  <c r="C40" i="1" s="1"/>
  <c r="B42" i="1"/>
  <c r="C42" i="1" s="1"/>
  <c r="B43" i="1"/>
  <c r="C43" i="1" s="1"/>
  <c r="B87" i="1"/>
  <c r="C87" i="1" s="1"/>
  <c r="B88" i="1"/>
  <c r="C88" i="1" s="1"/>
  <c r="B5" i="1"/>
  <c r="P148" i="1" l="1"/>
  <c r="R148" i="1"/>
  <c r="V148" i="1" s="1"/>
  <c r="Y148" i="1" s="1"/>
  <c r="C5" i="1"/>
  <c r="C28" i="1" s="1"/>
  <c r="B89" i="1" s="1"/>
  <c r="B28" i="1"/>
  <c r="C49" i="1"/>
  <c r="C78" i="1" s="1"/>
  <c r="B90" i="1" s="1"/>
  <c r="B79" i="1"/>
  <c r="Y89" i="1"/>
  <c r="AT48" i="1"/>
  <c r="AT32" i="1"/>
  <c r="AT44" i="1" s="1"/>
  <c r="BY78" i="1" l="1"/>
  <c r="A90" i="1"/>
  <c r="R45" i="1"/>
  <c r="AT45" i="1"/>
  <c r="R44" i="1" s="1"/>
  <c r="J78" i="1"/>
  <c r="H76" i="6"/>
  <c r="I76" i="6"/>
  <c r="G76" i="6"/>
  <c r="D76" i="6"/>
  <c r="E76" i="6"/>
  <c r="C76" i="6"/>
  <c r="G75" i="6"/>
  <c r="C75" i="6"/>
  <c r="B76" i="6"/>
  <c r="B77" i="6"/>
  <c r="B78" i="6"/>
  <c r="B79" i="6"/>
  <c r="B75" i="6"/>
  <c r="X16" i="6"/>
  <c r="Y16" i="6"/>
  <c r="Z16" i="6"/>
  <c r="AA16" i="6"/>
  <c r="AB16" i="6"/>
  <c r="AC16" i="6"/>
  <c r="AD16" i="6"/>
  <c r="AE16" i="6"/>
  <c r="AF16" i="6"/>
  <c r="AG16" i="6"/>
  <c r="AG17" i="6"/>
  <c r="Y4" i="6"/>
  <c r="AC4" i="6"/>
  <c r="AD4" i="6"/>
  <c r="AF4" i="6"/>
  <c r="AG4" i="6"/>
  <c r="X4" i="6"/>
  <c r="N4" i="6"/>
  <c r="R4" i="6"/>
  <c r="S4" i="6"/>
  <c r="U4" i="6"/>
  <c r="V4" i="6"/>
  <c r="M4" i="6"/>
  <c r="C5" i="6"/>
  <c r="E5" i="6"/>
  <c r="F5" i="6"/>
  <c r="H5" i="6"/>
  <c r="C6" i="6"/>
  <c r="F6" i="6"/>
  <c r="H6" i="6"/>
  <c r="C7" i="6"/>
  <c r="E7" i="6"/>
  <c r="F7" i="6"/>
  <c r="H7" i="6"/>
  <c r="C8" i="6"/>
  <c r="F8" i="6"/>
  <c r="H8" i="6"/>
  <c r="C9" i="6"/>
  <c r="F9" i="6"/>
  <c r="F10" i="6"/>
  <c r="C11" i="6"/>
  <c r="D11" i="6"/>
  <c r="E11" i="6"/>
  <c r="F11" i="6"/>
  <c r="H11" i="6"/>
  <c r="C12" i="6"/>
  <c r="E12" i="6"/>
  <c r="F12" i="6"/>
  <c r="J12" i="6"/>
  <c r="K12" i="6"/>
  <c r="C13" i="6"/>
  <c r="D13" i="6"/>
  <c r="E13" i="6"/>
  <c r="F13" i="6"/>
  <c r="H13" i="6"/>
  <c r="E14" i="6"/>
  <c r="F14" i="6"/>
  <c r="G14" i="6"/>
  <c r="H14" i="6"/>
  <c r="C15" i="6"/>
  <c r="F15" i="6"/>
  <c r="H15" i="6"/>
  <c r="C16" i="6"/>
  <c r="F16" i="6"/>
  <c r="I16" i="6"/>
  <c r="C17" i="6"/>
  <c r="F17" i="6"/>
  <c r="H17" i="6"/>
  <c r="C18" i="6"/>
  <c r="E18" i="6"/>
  <c r="F18" i="6"/>
  <c r="C19" i="6"/>
  <c r="D19" i="6"/>
  <c r="F19" i="6"/>
  <c r="H19" i="6"/>
  <c r="C20" i="6"/>
  <c r="E20" i="6"/>
  <c r="F20" i="6"/>
  <c r="H20" i="6"/>
  <c r="C21" i="6"/>
  <c r="I21" i="6"/>
  <c r="C22" i="6"/>
  <c r="F22" i="6"/>
  <c r="G22" i="6"/>
  <c r="H22" i="6"/>
  <c r="F23" i="6"/>
  <c r="H23" i="6"/>
  <c r="C24" i="6"/>
  <c r="F24" i="6"/>
  <c r="H24" i="6"/>
  <c r="C25" i="6"/>
  <c r="H25" i="6"/>
  <c r="C26" i="6"/>
  <c r="H26" i="6"/>
  <c r="C27" i="6"/>
  <c r="H27" i="6"/>
  <c r="F4" i="6"/>
  <c r="C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4" i="6"/>
  <c r="B2" i="6"/>
  <c r="M2" i="6" s="1"/>
  <c r="I84" i="6"/>
  <c r="I85" i="6" s="1"/>
  <c r="H84" i="6"/>
  <c r="H85" i="6" s="1"/>
  <c r="X2" i="6" l="1"/>
  <c r="H86" i="6"/>
  <c r="L70" i="6"/>
  <c r="L68" i="6"/>
  <c r="T62" i="2"/>
  <c r="AB41" i="2" s="1"/>
  <c r="Z42" i="2" s="1"/>
  <c r="Q101" i="1"/>
  <c r="G79" i="6" s="1"/>
  <c r="R101" i="1"/>
  <c r="H79" i="6" s="1"/>
  <c r="S101" i="1"/>
  <c r="I79" i="6" s="1"/>
  <c r="P101" i="1"/>
  <c r="E79" i="6" s="1"/>
  <c r="O101" i="1"/>
  <c r="D79" i="6" s="1"/>
  <c r="N101" i="1"/>
  <c r="C79" i="6" s="1"/>
  <c r="P100" i="1"/>
  <c r="E78" i="6" s="1"/>
  <c r="P99" i="1"/>
  <c r="E77" i="6" s="1"/>
  <c r="D78" i="6"/>
  <c r="N100" i="1"/>
  <c r="C78" i="6" s="1"/>
  <c r="O99" i="1"/>
  <c r="D77" i="6" s="1"/>
  <c r="N99" i="1"/>
  <c r="C77" i="6" s="1"/>
  <c r="L69" i="6" l="1"/>
  <c r="L72" i="6" s="1"/>
  <c r="BJ141" i="1"/>
  <c r="BJ142" i="1"/>
  <c r="BJ143" i="1"/>
  <c r="BJ145" i="1"/>
  <c r="BJ146" i="1"/>
  <c r="BJ147" i="1"/>
  <c r="BJ148" i="1"/>
  <c r="BK141" i="1" l="1"/>
  <c r="BO142" i="1"/>
  <c r="BK142" i="1"/>
  <c r="BK145" i="1"/>
  <c r="BK146" i="1"/>
  <c r="BK147" i="1"/>
  <c r="BK148" i="1"/>
  <c r="B28" i="6" l="1"/>
  <c r="C73" i="6"/>
  <c r="BK143" i="1"/>
  <c r="F29" i="6"/>
  <c r="X44" i="1"/>
  <c r="X91" i="1" s="1"/>
  <c r="AF25" i="6" s="1"/>
  <c r="Y45" i="1" l="1"/>
  <c r="AF17" i="6"/>
  <c r="S45" i="1"/>
  <c r="R67" i="1"/>
  <c r="S22" i="6" s="1"/>
  <c r="AT67" i="1" l="1"/>
  <c r="AT78" i="1" s="1"/>
  <c r="R79" i="1" s="1"/>
  <c r="AO67" i="1"/>
  <c r="AO78" i="1" s="1"/>
  <c r="AO82" i="1" s="1"/>
  <c r="AX67" i="1"/>
  <c r="Z91" i="1"/>
  <c r="AH25" i="6" s="1"/>
  <c r="Q100" i="1"/>
  <c r="G78" i="6" s="1"/>
  <c r="S100" i="1"/>
  <c r="I78" i="6" s="1"/>
  <c r="R100" i="1"/>
  <c r="H78" i="6" s="1"/>
  <c r="X66" i="1"/>
  <c r="R12" i="1"/>
  <c r="AT12" i="1" s="1"/>
  <c r="AT28" i="1" s="1"/>
  <c r="K28" i="6"/>
  <c r="AV66" i="1" l="1"/>
  <c r="AV78" i="1" s="1"/>
  <c r="U21" i="6"/>
  <c r="AT79" i="1"/>
  <c r="R78" i="1" s="1"/>
  <c r="AT29" i="1"/>
  <c r="R28" i="1"/>
  <c r="AT84" i="1"/>
  <c r="AX12" i="1"/>
  <c r="X89" i="1"/>
  <c r="Y29" i="1"/>
  <c r="F28" i="6"/>
  <c r="H12" i="6"/>
  <c r="S99" i="1"/>
  <c r="I77" i="6" s="1"/>
  <c r="R99" i="1"/>
  <c r="H77" i="6" s="1"/>
  <c r="Q99" i="1"/>
  <c r="G77" i="6" s="1"/>
  <c r="J28" i="6"/>
  <c r="R82" i="1" l="1"/>
  <c r="AF23" i="6"/>
  <c r="AX44" i="1"/>
  <c r="AZ44" i="1" s="1"/>
  <c r="AZ66" i="1" s="1"/>
  <c r="AX91" i="1" s="1"/>
  <c r="AX90" i="1"/>
  <c r="S103" i="1" s="1"/>
  <c r="AX89" i="1"/>
  <c r="R103" i="1" s="1"/>
  <c r="AX88" i="1"/>
  <c r="Q103" i="1" s="1"/>
  <c r="Z90" i="1"/>
  <c r="AH24" i="6" s="1"/>
  <c r="B73" i="6"/>
  <c r="Y78" i="1"/>
  <c r="Y82" i="1" l="1"/>
  <c r="Y90" i="1"/>
  <c r="Y93" i="1" s="1"/>
  <c r="V31" i="6"/>
  <c r="K69" i="6" s="1"/>
  <c r="S58" i="1"/>
  <c r="AD17" i="6"/>
  <c r="T13" i="6" l="1"/>
  <c r="AJ58" i="1"/>
  <c r="AG18" i="6"/>
  <c r="S79" i="1"/>
  <c r="S32" i="6"/>
  <c r="P18" i="5"/>
  <c r="N39" i="5"/>
  <c r="O39" i="5"/>
  <c r="K1" i="5"/>
  <c r="AM58" i="1" l="1"/>
  <c r="AL58" i="1"/>
  <c r="AK58" i="1" s="1"/>
  <c r="H18" i="5"/>
  <c r="H19" i="5"/>
  <c r="G19" i="5"/>
  <c r="H13" i="5"/>
  <c r="G3" i="5"/>
  <c r="G4" i="5"/>
  <c r="G5" i="5"/>
  <c r="G7" i="5"/>
  <c r="G9" i="5"/>
  <c r="G10" i="5"/>
  <c r="G12" i="5"/>
  <c r="G13" i="5"/>
  <c r="G15" i="5"/>
  <c r="G16" i="5"/>
  <c r="G18" i="5"/>
  <c r="G2" i="5"/>
  <c r="H21" i="5" l="1"/>
  <c r="G21" i="5"/>
  <c r="G23" i="5" s="1"/>
  <c r="G25" i="5" s="1"/>
  <c r="G26" i="5" l="1"/>
  <c r="G27" i="5" s="1"/>
  <c r="G28" i="5" s="1"/>
  <c r="G29" i="5" s="1"/>
  <c r="S62" i="1"/>
  <c r="S63" i="1"/>
  <c r="S64" i="1"/>
  <c r="S65" i="1"/>
  <c r="S67" i="1"/>
  <c r="S76" i="1"/>
  <c r="T18" i="6" l="1"/>
  <c r="AJ63" i="1"/>
  <c r="T28" i="6"/>
  <c r="AJ76" i="1"/>
  <c r="T22" i="6"/>
  <c r="AJ67" i="1"/>
  <c r="T19" i="6"/>
  <c r="AJ64" i="1"/>
  <c r="T17" i="6"/>
  <c r="AJ62" i="1"/>
  <c r="T20" i="6"/>
  <c r="AJ65" i="1"/>
  <c r="BV79" i="1"/>
  <c r="BV81" i="1"/>
  <c r="CH81" i="1"/>
  <c r="AM65" i="1" l="1"/>
  <c r="AL65" i="1"/>
  <c r="AK65" i="1" s="1"/>
  <c r="AM64" i="1"/>
  <c r="AL64" i="1"/>
  <c r="AK64" i="1" s="1"/>
  <c r="AM76" i="1"/>
  <c r="AL76" i="1"/>
  <c r="AK76" i="1" s="1"/>
  <c r="AL62" i="1"/>
  <c r="AK62" i="1" s="1"/>
  <c r="AM62" i="1"/>
  <c r="AM63" i="1"/>
  <c r="AL63" i="1"/>
  <c r="AK63" i="1" s="1"/>
  <c r="AM67" i="1"/>
  <c r="AL67" i="1"/>
  <c r="AK67" i="1" s="1"/>
  <c r="V4" i="4"/>
  <c r="V21" i="4"/>
  <c r="F29" i="4"/>
  <c r="F31" i="4" s="1"/>
  <c r="U18" i="4" s="1"/>
  <c r="U19" i="4" s="1"/>
  <c r="U20" i="4" s="1"/>
  <c r="U21" i="4" s="1"/>
  <c r="Y3" i="4"/>
  <c r="Y9" i="4"/>
  <c r="Y10" i="4"/>
  <c r="U16" i="4" l="1"/>
  <c r="W16" i="4" s="1"/>
  <c r="Y17" i="4" s="1"/>
  <c r="Y14" i="4"/>
  <c r="G29" i="4"/>
  <c r="B8" i="4" s="1"/>
  <c r="Q30" i="4"/>
  <c r="P29" i="4"/>
  <c r="N29" i="4"/>
  <c r="U4" i="4" s="1"/>
  <c r="H29" i="4"/>
  <c r="J14" i="4"/>
  <c r="K14" i="4" s="1"/>
  <c r="J13" i="4"/>
  <c r="K13" i="4" s="1"/>
  <c r="K12" i="4"/>
  <c r="D12" i="4"/>
  <c r="K11" i="4"/>
  <c r="K10" i="4"/>
  <c r="J8" i="4"/>
  <c r="K8" i="4" s="1"/>
  <c r="J7" i="4"/>
  <c r="K7" i="4" s="1"/>
  <c r="J6" i="4"/>
  <c r="K6" i="4" s="1"/>
  <c r="J5" i="4"/>
  <c r="K5" i="4" s="1"/>
  <c r="O4" i="4"/>
  <c r="O5" i="4" s="1"/>
  <c r="O6" i="4" s="1"/>
  <c r="O7" i="4" s="1"/>
  <c r="O8" i="4" s="1"/>
  <c r="O9" i="4" s="1"/>
  <c r="O10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O25" i="4" s="1"/>
  <c r="J4" i="4"/>
  <c r="K4" i="4" s="1"/>
  <c r="T41" i="2"/>
  <c r="T58" i="2" s="1"/>
  <c r="S41" i="2"/>
  <c r="S58" i="2" s="1"/>
  <c r="R41" i="2"/>
  <c r="R58" i="2" s="1"/>
  <c r="B10" i="4" l="1"/>
  <c r="U2" i="4"/>
  <c r="Y2" i="4" s="1"/>
  <c r="U5" i="4"/>
  <c r="K29" i="4"/>
  <c r="L4" i="4"/>
  <c r="L5" i="4" s="1"/>
  <c r="L6" i="4" s="1"/>
  <c r="L7" i="4" s="1"/>
  <c r="L8" i="4" s="1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U7" i="4" s="1"/>
  <c r="Q31" i="4"/>
  <c r="S13" i="4" s="1"/>
  <c r="U6" i="4"/>
  <c r="BU59" i="1"/>
  <c r="U8" i="4" l="1"/>
  <c r="Q32" i="4"/>
  <c r="Q33" i="4" s="1"/>
  <c r="V13" i="4" s="1"/>
  <c r="K42" i="4"/>
  <c r="J42" i="2"/>
  <c r="K42" i="2"/>
  <c r="L42" i="2"/>
  <c r="I42" i="2"/>
  <c r="K41" i="2"/>
  <c r="R57" i="2" s="1"/>
  <c r="Y13" i="4" l="1"/>
  <c r="Q34" i="4"/>
  <c r="Q36" i="4" s="1"/>
  <c r="K32" i="4"/>
  <c r="K33" i="4" s="1"/>
  <c r="K37" i="4" s="1"/>
  <c r="K34" i="4"/>
  <c r="K39" i="4" s="1"/>
  <c r="H41" i="2"/>
  <c r="S62" i="2" s="1"/>
  <c r="B9" i="4" l="1"/>
  <c r="B11" i="4"/>
  <c r="K41" i="4"/>
  <c r="S20" i="1"/>
  <c r="Q78" i="1"/>
  <c r="R31" i="6" s="1"/>
  <c r="L78" i="1"/>
  <c r="O31" i="6" s="1"/>
  <c r="I20" i="6" l="1"/>
  <c r="AJ20" i="1"/>
  <c r="S11" i="4"/>
  <c r="W8" i="4"/>
  <c r="Y7" i="4" s="1"/>
  <c r="Y21" i="4" s="1"/>
  <c r="BF140" i="1"/>
  <c r="B5" i="4"/>
  <c r="O90" i="1"/>
  <c r="Q90" i="1"/>
  <c r="L90" i="1"/>
  <c r="AM20" i="1" l="1"/>
  <c r="AL20" i="1"/>
  <c r="AK20" i="1" s="1"/>
  <c r="D69" i="6"/>
  <c r="Z24" i="6"/>
  <c r="G69" i="6"/>
  <c r="AC24" i="6"/>
  <c r="E69" i="6"/>
  <c r="AA24" i="6"/>
  <c r="CI45" i="1"/>
  <c r="CI78" i="1"/>
  <c r="CI79" i="1" s="1"/>
  <c r="CI81" i="1"/>
  <c r="CK79" i="1"/>
  <c r="CK81" i="1" s="1"/>
  <c r="CK84" i="1" s="1"/>
  <c r="BX79" i="1"/>
  <c r="BX81" i="1" s="1"/>
  <c r="CH79" i="1"/>
  <c r="CH29" i="1"/>
  <c r="CA29" i="1"/>
  <c r="CI29" i="1" l="1"/>
  <c r="D34" i="1"/>
  <c r="D35" i="1" l="1"/>
  <c r="B41" i="1"/>
  <c r="B45" i="1" s="1"/>
  <c r="A91" i="1" s="1"/>
  <c r="Y13" i="6"/>
  <c r="C14" i="6"/>
  <c r="C23" i="6"/>
  <c r="C10" i="6"/>
  <c r="D52" i="1"/>
  <c r="L44" i="1"/>
  <c r="D28" i="6"/>
  <c r="D56" i="1" l="1"/>
  <c r="D37" i="1"/>
  <c r="D38" i="1" s="1"/>
  <c r="D39" i="1" s="1"/>
  <c r="D40" i="1" s="1"/>
  <c r="D41" i="1" s="1"/>
  <c r="D42" i="1" s="1"/>
  <c r="D43" i="1" s="1"/>
  <c r="L91" i="1"/>
  <c r="Z17" i="6"/>
  <c r="D73" i="1"/>
  <c r="D74" i="1" s="1"/>
  <c r="D75" i="1" s="1"/>
  <c r="D76" i="1" s="1"/>
  <c r="L82" i="1"/>
  <c r="L84" i="1" s="1"/>
  <c r="AI3" i="2"/>
  <c r="AI4" i="2" s="1"/>
  <c r="AI5" i="2" s="1"/>
  <c r="AI6" i="2" s="1"/>
  <c r="D78" i="1" l="1"/>
  <c r="C90" i="1" s="1"/>
  <c r="D45" i="1"/>
  <c r="C91" i="1" s="1"/>
  <c r="BY28" i="1"/>
  <c r="CB28" i="1" s="1"/>
  <c r="CC28" i="1" s="1"/>
  <c r="A89" i="1"/>
  <c r="A93" i="1" s="1"/>
  <c r="J28" i="1"/>
  <c r="C28" i="6" s="1"/>
  <c r="D68" i="6"/>
  <c r="Z23" i="6"/>
  <c r="D70" i="6"/>
  <c r="Z25" i="6"/>
  <c r="L93" i="1"/>
  <c r="Z18" i="6"/>
  <c r="D72" i="6" s="1"/>
  <c r="D73" i="6" s="1"/>
  <c r="I3" i="2"/>
  <c r="P3" i="2" s="1"/>
  <c r="L41" i="2"/>
  <c r="S57" i="2" s="1"/>
  <c r="M41" i="2"/>
  <c r="T57" i="2" s="1"/>
  <c r="E41" i="2"/>
  <c r="F41" i="2"/>
  <c r="S56" i="2" s="1"/>
  <c r="S59" i="2" s="1"/>
  <c r="G41" i="2"/>
  <c r="T56" i="2" s="1"/>
  <c r="T59" i="2" s="1"/>
  <c r="X41" i="2" s="1"/>
  <c r="S61" i="2" l="1"/>
  <c r="W41" i="2"/>
  <c r="W43" i="2"/>
  <c r="V42" i="2"/>
  <c r="D43" i="2"/>
  <c r="R56" i="2"/>
  <c r="R59" i="2" s="1"/>
  <c r="R60" i="2" s="1"/>
  <c r="CA44" i="1"/>
  <c r="CA81" i="1" s="1"/>
  <c r="K93" i="1"/>
  <c r="L95" i="1"/>
  <c r="C93" i="1"/>
  <c r="Z27" i="6"/>
  <c r="D82" i="1"/>
  <c r="D79" i="1"/>
  <c r="CA78" i="1" s="1"/>
  <c r="CA79" i="1" s="1"/>
  <c r="CD28" i="1"/>
  <c r="CE28" i="1" s="1"/>
  <c r="CF28" i="1" s="1"/>
  <c r="BY29" i="1"/>
  <c r="E43" i="2"/>
  <c r="F43" i="2"/>
  <c r="AF5" i="2"/>
  <c r="B41" i="2"/>
  <c r="D66" i="3"/>
  <c r="H42" i="2" l="1"/>
  <c r="R62" i="2"/>
  <c r="R63" i="2" s="1"/>
  <c r="K95" i="1"/>
  <c r="N94" i="1"/>
  <c r="CA84" i="1"/>
  <c r="G94" i="1"/>
  <c r="CA45" i="1"/>
  <c r="CG28" i="1"/>
  <c r="CJ28" i="1" s="1"/>
  <c r="CL28" i="1" s="1"/>
  <c r="O42" i="2"/>
  <c r="C43" i="2" s="1"/>
  <c r="AH2" i="2" s="1"/>
  <c r="AH3" i="2" s="1"/>
  <c r="AH4" i="2" s="1"/>
  <c r="AH5" i="2" s="1"/>
  <c r="AF3" i="2"/>
  <c r="AF4" i="2"/>
  <c r="G43" i="2"/>
  <c r="AF6" i="2" s="1"/>
  <c r="J43" i="2"/>
  <c r="CA46" i="1" l="1"/>
  <c r="CB46" i="1" s="1"/>
  <c r="CC46" i="1" s="1"/>
  <c r="CC84" i="1"/>
  <c r="CD84" i="1" s="1"/>
  <c r="CE84" i="1" s="1"/>
  <c r="CF84" i="1" s="1"/>
  <c r="CG29" i="1"/>
  <c r="CJ29" i="1" s="1"/>
  <c r="CL29" i="1" s="1"/>
  <c r="BV89" i="1" s="1"/>
  <c r="I89" i="1" s="1"/>
  <c r="AH6" i="2"/>
  <c r="AJ6" i="2" s="1"/>
  <c r="AK6" i="2" s="1"/>
  <c r="AL6" i="2" s="1"/>
  <c r="AO6" i="2" s="1"/>
  <c r="AQ8" i="2" s="1"/>
  <c r="AJ5" i="2"/>
  <c r="AK5" i="2" s="1"/>
  <c r="AL5" i="2" s="1"/>
  <c r="AO5" i="2" s="1"/>
  <c r="AQ7" i="2" s="1"/>
  <c r="AJ3" i="2"/>
  <c r="AK3" i="2" s="1"/>
  <c r="AL3" i="2" s="1"/>
  <c r="AO3" i="2" s="1"/>
  <c r="AQ5" i="2" s="1"/>
  <c r="AF2" i="2"/>
  <c r="AJ4" i="2"/>
  <c r="AK4" i="2" s="1"/>
  <c r="AL4" i="2" s="1"/>
  <c r="AO4" i="2" s="1"/>
  <c r="AQ6" i="2" s="1"/>
  <c r="I43" i="2"/>
  <c r="M43" i="2"/>
  <c r="L43" i="2"/>
  <c r="K43" i="2"/>
  <c r="AD10" i="2" l="1"/>
  <c r="I48" i="2"/>
  <c r="X33" i="6"/>
  <c r="AQ20" i="2"/>
  <c r="AD6" i="2" s="1"/>
  <c r="I46" i="2"/>
  <c r="X31" i="6"/>
  <c r="AQ19" i="2"/>
  <c r="AD5" i="2" s="1"/>
  <c r="I45" i="2"/>
  <c r="X30" i="6"/>
  <c r="AQ21" i="2"/>
  <c r="AD7" i="2" s="1"/>
  <c r="I47" i="2"/>
  <c r="X32" i="6"/>
  <c r="CD46" i="1"/>
  <c r="CE46" i="1" s="1"/>
  <c r="CF46" i="1" s="1"/>
  <c r="CG46" i="1" s="1"/>
  <c r="B68" i="6"/>
  <c r="X23" i="6"/>
  <c r="I28" i="1"/>
  <c r="J89" i="1"/>
  <c r="AQ17" i="2"/>
  <c r="O19" i="1"/>
  <c r="N123" i="1" l="1"/>
  <c r="O28" i="1"/>
  <c r="CG84" i="1"/>
  <c r="CJ84" i="1" s="1"/>
  <c r="CL84" i="1" s="1"/>
  <c r="I95" i="1" s="1"/>
  <c r="CJ46" i="1"/>
  <c r="CL46" i="1" s="1"/>
  <c r="Y23" i="6"/>
  <c r="C68" i="6"/>
  <c r="E19" i="6"/>
  <c r="E12" i="3"/>
  <c r="E13" i="3" s="1"/>
  <c r="E6" i="3"/>
  <c r="E7" i="3" s="1"/>
  <c r="D27" i="3"/>
  <c r="D50" i="3"/>
  <c r="A52" i="3"/>
  <c r="A29" i="3"/>
  <c r="BE140" i="1" l="1"/>
  <c r="E28" i="6"/>
  <c r="D68" i="3"/>
  <c r="I46" i="1"/>
  <c r="I30" i="1"/>
  <c r="AA17" i="6" l="1"/>
  <c r="Q44" i="1"/>
  <c r="Q89" i="1" l="1"/>
  <c r="G28" i="6"/>
  <c r="Q91" i="1"/>
  <c r="AC17" i="6"/>
  <c r="O91" i="1"/>
  <c r="BG140" i="1"/>
  <c r="Q82" i="1"/>
  <c r="O89" i="1"/>
  <c r="E68" i="6" l="1"/>
  <c r="AA23" i="6"/>
  <c r="G70" i="6"/>
  <c r="AC25" i="6"/>
  <c r="E70" i="6"/>
  <c r="AA25" i="6"/>
  <c r="G68" i="6"/>
  <c r="AC23" i="6"/>
  <c r="BJ140" i="1"/>
  <c r="BK140" i="1" s="1"/>
  <c r="Q93" i="1"/>
  <c r="AC27" i="6" s="1"/>
  <c r="AC18" i="6"/>
  <c r="G72" i="6" s="1"/>
  <c r="O82" i="1"/>
  <c r="O93" i="1" l="1"/>
  <c r="N95" i="1" s="1"/>
  <c r="P95" i="1" s="1"/>
  <c r="AA18" i="6"/>
  <c r="E72" i="6" s="1"/>
  <c r="S12" i="1"/>
  <c r="S53" i="1"/>
  <c r="I12" i="6" l="1"/>
  <c r="AJ12" i="1"/>
  <c r="T9" i="6"/>
  <c r="AJ53" i="1"/>
  <c r="V94" i="1"/>
  <c r="V95" i="1" s="1"/>
  <c r="AA27" i="6"/>
  <c r="E88" i="6"/>
  <c r="G88" i="6" s="1"/>
  <c r="S6" i="1"/>
  <c r="S7" i="1"/>
  <c r="S8" i="1"/>
  <c r="S9" i="1"/>
  <c r="S10" i="1"/>
  <c r="S11" i="1"/>
  <c r="S13" i="1"/>
  <c r="S14" i="1"/>
  <c r="S15" i="1"/>
  <c r="S17" i="1"/>
  <c r="S18" i="1"/>
  <c r="S19" i="1"/>
  <c r="S22" i="1"/>
  <c r="S23" i="1"/>
  <c r="S24" i="1"/>
  <c r="S25" i="1"/>
  <c r="S26" i="1"/>
  <c r="I27" i="6"/>
  <c r="S48" i="1"/>
  <c r="S49" i="1"/>
  <c r="S50" i="1"/>
  <c r="S51" i="1"/>
  <c r="S52" i="1"/>
  <c r="S54" i="1"/>
  <c r="S57" i="1"/>
  <c r="S59" i="1"/>
  <c r="S61" i="1"/>
  <c r="S32" i="1"/>
  <c r="S33" i="1"/>
  <c r="S34" i="1"/>
  <c r="S35" i="1"/>
  <c r="S37" i="1"/>
  <c r="S38" i="1"/>
  <c r="S39" i="1"/>
  <c r="S40" i="1"/>
  <c r="S41" i="1"/>
  <c r="S42" i="1"/>
  <c r="S5" i="1"/>
  <c r="P89" i="1"/>
  <c r="I19" i="6" l="1"/>
  <c r="AJ19" i="1"/>
  <c r="I18" i="6"/>
  <c r="AJ18" i="1"/>
  <c r="I17" i="6"/>
  <c r="AJ17" i="1"/>
  <c r="AE13" i="6"/>
  <c r="AJ41" i="1"/>
  <c r="T11" i="6"/>
  <c r="AJ56" i="1"/>
  <c r="I22" i="6"/>
  <c r="AJ22" i="1"/>
  <c r="I6" i="6"/>
  <c r="AJ6" i="1"/>
  <c r="AE12" i="6"/>
  <c r="AJ40" i="1"/>
  <c r="T16" i="6"/>
  <c r="AJ61" i="1"/>
  <c r="T10" i="6"/>
  <c r="AJ54" i="1"/>
  <c r="T5" i="6"/>
  <c r="AJ49" i="1"/>
  <c r="I25" i="6"/>
  <c r="AJ25" i="1"/>
  <c r="I14" i="6"/>
  <c r="AJ14" i="1"/>
  <c r="I9" i="6"/>
  <c r="AJ9" i="1"/>
  <c r="AE4" i="6"/>
  <c r="AJ32" i="1"/>
  <c r="I15" i="6"/>
  <c r="AJ15" i="1"/>
  <c r="AM53" i="1"/>
  <c r="AL53" i="1"/>
  <c r="AK53" i="1" s="1"/>
  <c r="T14" i="6"/>
  <c r="AJ59" i="1"/>
  <c r="I13" i="6"/>
  <c r="AJ13" i="1"/>
  <c r="I8" i="6"/>
  <c r="AJ8" i="1"/>
  <c r="AM12" i="1"/>
  <c r="AL12" i="1"/>
  <c r="AK12" i="1" s="1"/>
  <c r="AE9" i="6"/>
  <c r="AJ37" i="1"/>
  <c r="T6" i="6"/>
  <c r="AJ50" i="1"/>
  <c r="I26" i="6"/>
  <c r="AJ26" i="1"/>
  <c r="I10" i="6"/>
  <c r="AJ10" i="1"/>
  <c r="AE7" i="6"/>
  <c r="AJ35" i="1"/>
  <c r="I5" i="6"/>
  <c r="AJ5" i="1"/>
  <c r="AE11" i="6"/>
  <c r="AJ39" i="1"/>
  <c r="AE6" i="6"/>
  <c r="AJ34" i="1"/>
  <c r="T8" i="6"/>
  <c r="AJ52" i="1"/>
  <c r="T4" i="6"/>
  <c r="AJ48" i="1"/>
  <c r="I24" i="6"/>
  <c r="AJ24" i="1"/>
  <c r="AE14" i="6"/>
  <c r="AJ42" i="1"/>
  <c r="AE10" i="6"/>
  <c r="AJ38" i="1"/>
  <c r="AE5" i="6"/>
  <c r="AJ33" i="1"/>
  <c r="T12" i="6"/>
  <c r="AJ57" i="1"/>
  <c r="T7" i="6"/>
  <c r="AJ51" i="1"/>
  <c r="I23" i="6"/>
  <c r="AJ23" i="1"/>
  <c r="I11" i="6"/>
  <c r="AJ11" i="1"/>
  <c r="I7" i="6"/>
  <c r="AJ7" i="1"/>
  <c r="F68" i="6"/>
  <c r="AB23" i="6"/>
  <c r="P91" i="1"/>
  <c r="AB17" i="6"/>
  <c r="R91" i="1"/>
  <c r="AJ2" i="2"/>
  <c r="AK2" i="2" s="1"/>
  <c r="AL2" i="2" s="1"/>
  <c r="AO2" i="2" s="1"/>
  <c r="S44" i="1"/>
  <c r="AM17" i="1" l="1"/>
  <c r="AL17" i="1"/>
  <c r="AK17" i="1" s="1"/>
  <c r="AM19" i="1"/>
  <c r="AL19" i="1"/>
  <c r="AK19" i="1" s="1"/>
  <c r="AM18" i="1"/>
  <c r="AL18" i="1"/>
  <c r="AK18" i="1" s="1"/>
  <c r="AM11" i="1"/>
  <c r="AL11" i="1"/>
  <c r="AK11" i="1" s="1"/>
  <c r="AM33" i="1"/>
  <c r="AL33" i="1"/>
  <c r="AK33" i="1" s="1"/>
  <c r="AM48" i="1"/>
  <c r="AL48" i="1"/>
  <c r="AK48" i="1" s="1"/>
  <c r="AL5" i="1"/>
  <c r="AK5" i="1" s="1"/>
  <c r="AM5" i="1"/>
  <c r="AM49" i="1"/>
  <c r="AL49" i="1"/>
  <c r="AK49" i="1" s="1"/>
  <c r="AM56" i="1"/>
  <c r="AL56" i="1"/>
  <c r="AK56" i="1" s="1"/>
  <c r="AM42" i="1"/>
  <c r="AL42" i="1"/>
  <c r="AK42" i="1" s="1"/>
  <c r="AM61" i="1"/>
  <c r="AL61" i="1"/>
  <c r="AK61" i="1" s="1"/>
  <c r="AM7" i="1"/>
  <c r="AL7" i="1"/>
  <c r="AK7" i="1" s="1"/>
  <c r="AM24" i="1"/>
  <c r="AL24" i="1"/>
  <c r="AK24" i="1" s="1"/>
  <c r="AM39" i="1"/>
  <c r="AL39" i="1"/>
  <c r="AK39" i="1" s="1"/>
  <c r="AM35" i="1"/>
  <c r="AL35" i="1"/>
  <c r="AK35" i="1" s="1"/>
  <c r="AM26" i="1"/>
  <c r="AL26" i="1"/>
  <c r="AK26" i="1" s="1"/>
  <c r="AM37" i="1"/>
  <c r="AL37" i="1"/>
  <c r="AK37" i="1" s="1"/>
  <c r="AM8" i="1"/>
  <c r="AL8" i="1"/>
  <c r="AK8" i="1" s="1"/>
  <c r="AM59" i="1"/>
  <c r="AL59" i="1"/>
  <c r="AK59" i="1" s="1"/>
  <c r="AM15" i="1"/>
  <c r="AL15" i="1"/>
  <c r="AK15" i="1" s="1"/>
  <c r="AM9" i="1"/>
  <c r="AL9" i="1"/>
  <c r="AK9" i="1" s="1"/>
  <c r="AM25" i="1"/>
  <c r="AL25" i="1"/>
  <c r="AK25" i="1" s="1"/>
  <c r="AM54" i="1"/>
  <c r="AL54" i="1"/>
  <c r="AK54" i="1" s="1"/>
  <c r="AM40" i="1"/>
  <c r="AL40" i="1"/>
  <c r="AK40" i="1" s="1"/>
  <c r="AM22" i="1"/>
  <c r="AL22" i="1"/>
  <c r="AK22" i="1" s="1"/>
  <c r="AM41" i="1"/>
  <c r="AL41" i="1"/>
  <c r="AK41" i="1" s="1"/>
  <c r="AM51" i="1"/>
  <c r="AL51" i="1"/>
  <c r="AK51" i="1" s="1"/>
  <c r="AM34" i="1"/>
  <c r="AL34" i="1"/>
  <c r="AK34" i="1" s="1"/>
  <c r="AM10" i="1"/>
  <c r="AL10" i="1"/>
  <c r="AK10" i="1" s="1"/>
  <c r="AM50" i="1"/>
  <c r="AL50" i="1"/>
  <c r="AK50" i="1" s="1"/>
  <c r="AM13" i="1"/>
  <c r="AL13" i="1"/>
  <c r="AK13" i="1" s="1"/>
  <c r="AM32" i="1"/>
  <c r="AL32" i="1"/>
  <c r="AK32" i="1" s="1"/>
  <c r="AL14" i="1"/>
  <c r="AK14" i="1" s="1"/>
  <c r="AM14" i="1"/>
  <c r="AJ79" i="1"/>
  <c r="AM6" i="1"/>
  <c r="AL6" i="1"/>
  <c r="AK6" i="1" s="1"/>
  <c r="AM23" i="1"/>
  <c r="AL23" i="1"/>
  <c r="AK23" i="1" s="1"/>
  <c r="AM57" i="1"/>
  <c r="AL57" i="1"/>
  <c r="AK57" i="1" s="1"/>
  <c r="AL38" i="1"/>
  <c r="AK38" i="1" s="1"/>
  <c r="AM38" i="1"/>
  <c r="AM52" i="1"/>
  <c r="AL52" i="1"/>
  <c r="AK52" i="1" s="1"/>
  <c r="AD25" i="6"/>
  <c r="F70" i="6"/>
  <c r="AB25" i="6"/>
  <c r="H70" i="6"/>
  <c r="S91" i="1"/>
  <c r="AE17" i="6"/>
  <c r="AQ2" i="2"/>
  <c r="AQ16" i="2"/>
  <c r="AL79" i="1" l="1"/>
  <c r="AK79" i="1" s="1"/>
  <c r="AM79" i="1"/>
  <c r="I70" i="6"/>
  <c r="AE25" i="6"/>
  <c r="AQ3" i="2"/>
  <c r="B2" i="2" s="1"/>
  <c r="AD9" i="2"/>
  <c r="AA35" i="4"/>
  <c r="Y4" i="4"/>
  <c r="Y5" i="4"/>
  <c r="B7" i="4" s="1"/>
  <c r="O117" i="1" l="1"/>
  <c r="AM80" i="1"/>
  <c r="AL80" i="1"/>
  <c r="AL81" i="1" s="1"/>
  <c r="R117" i="1" s="1"/>
  <c r="V6" i="4"/>
  <c r="Y6" i="4" s="1"/>
  <c r="B4" i="4" s="1"/>
  <c r="B6" i="4"/>
  <c r="Q32" i="6"/>
  <c r="F65" i="6" s="1"/>
  <c r="BY44" i="1" l="1"/>
  <c r="CB44" i="1" l="1"/>
  <c r="CC44" i="1" s="1"/>
  <c r="J44" i="1"/>
  <c r="J82" i="1" s="1"/>
  <c r="BY81" i="1"/>
  <c r="CC81" i="1" s="1"/>
  <c r="CD81" i="1" s="1"/>
  <c r="CE81" i="1" s="1"/>
  <c r="CF81" i="1" s="1"/>
  <c r="Y17" i="6" l="1"/>
  <c r="C44" i="1"/>
  <c r="C45" i="1" s="1"/>
  <c r="B91" i="1" s="1"/>
  <c r="B93" i="1" s="1"/>
  <c r="B94" i="1" s="1"/>
  <c r="J83" i="1" s="1"/>
  <c r="J84" i="1" s="1"/>
  <c r="CD44" i="1"/>
  <c r="CE44" i="1" s="1"/>
  <c r="CF44" i="1" s="1"/>
  <c r="C84" i="1" l="1"/>
  <c r="J93" i="1"/>
  <c r="B82" i="1"/>
  <c r="CG44" i="1"/>
  <c r="E95" i="1" l="1"/>
  <c r="J94" i="1" s="1"/>
  <c r="M94" i="1"/>
  <c r="L94" i="1"/>
  <c r="K94" i="1"/>
  <c r="CJ44" i="1"/>
  <c r="CG81" i="1"/>
  <c r="CJ81" i="1" s="1"/>
  <c r="CL81" i="1" s="1"/>
  <c r="BV91" i="1" s="1"/>
  <c r="I91" i="1" s="1"/>
  <c r="N31" i="6"/>
  <c r="Y18" i="6" l="1"/>
  <c r="C82" i="1"/>
  <c r="B70" i="6"/>
  <c r="X25" i="6"/>
  <c r="CL44" i="1"/>
  <c r="I44" i="1" s="1"/>
  <c r="X17" i="6" s="1"/>
  <c r="J91" i="1"/>
  <c r="BY45" i="1"/>
  <c r="CB45" i="1" s="1"/>
  <c r="CC45" i="1" s="1"/>
  <c r="BY79" i="1"/>
  <c r="CC79" i="1" s="1"/>
  <c r="CD79" i="1" s="1"/>
  <c r="CE79" i="1" s="1"/>
  <c r="CF79" i="1" s="1"/>
  <c r="CB78" i="1"/>
  <c r="CC78" i="1" s="1"/>
  <c r="Y25" i="6" l="1"/>
  <c r="C70" i="6"/>
  <c r="CD78" i="1"/>
  <c r="CD45" i="1"/>
  <c r="CE45" i="1" l="1"/>
  <c r="CF45" i="1" s="1"/>
  <c r="CG45" i="1" s="1"/>
  <c r="CJ45" i="1" s="1"/>
  <c r="CL45" i="1" s="1"/>
  <c r="CE78" i="1"/>
  <c r="CF78" i="1" s="1"/>
  <c r="CG78" i="1" s="1"/>
  <c r="CG79" i="1" l="1"/>
  <c r="CJ79" i="1" s="1"/>
  <c r="CL79" i="1" s="1"/>
  <c r="BV90" i="1" s="1"/>
  <c r="I90" i="1" s="1"/>
  <c r="CJ78" i="1"/>
  <c r="I94" i="1"/>
  <c r="X28" i="6" s="1"/>
  <c r="I82" i="1"/>
  <c r="X18" i="6" s="1"/>
  <c r="B69" i="6" l="1"/>
  <c r="X24" i="6"/>
  <c r="J90" i="1"/>
  <c r="CL78" i="1"/>
  <c r="I78" i="1" s="1"/>
  <c r="M31" i="6" s="1"/>
  <c r="Y24" i="6" l="1"/>
  <c r="C69" i="6"/>
  <c r="X90" i="1"/>
  <c r="U31" i="6"/>
  <c r="Y79" i="1"/>
  <c r="AF18" i="6"/>
  <c r="X84" i="1"/>
  <c r="AF19" i="6" s="1"/>
  <c r="R90" i="1"/>
  <c r="AF24" i="6" l="1"/>
  <c r="X93" i="1"/>
  <c r="P90" i="1"/>
  <c r="P82" i="1"/>
  <c r="S31" i="6"/>
  <c r="AD24" i="6"/>
  <c r="H69" i="6"/>
  <c r="Q31" i="6"/>
  <c r="S78" i="1"/>
  <c r="Y84" i="1"/>
  <c r="P93" i="1" l="1"/>
  <c r="AB24" i="6"/>
  <c r="AB18" i="6"/>
  <c r="F72" i="6" s="1"/>
  <c r="E89" i="6" s="1"/>
  <c r="G89" i="6" s="1"/>
  <c r="G90" i="6" s="1"/>
  <c r="F69" i="6"/>
  <c r="AB27" i="6"/>
  <c r="P94" i="1"/>
  <c r="T31" i="6"/>
  <c r="S90" i="1"/>
  <c r="Q95" i="1" l="1"/>
  <c r="Z96" i="1"/>
  <c r="AB96" i="1"/>
  <c r="M106" i="1"/>
  <c r="M139" i="1" s="1"/>
  <c r="V139" i="1" s="1"/>
  <c r="V140" i="1" s="1"/>
  <c r="V141" i="1" s="1"/>
  <c r="V142" i="1" s="1"/>
  <c r="V143" i="1" s="1"/>
  <c r="AB28" i="6"/>
  <c r="F73" i="6"/>
  <c r="F91" i="6"/>
  <c r="AE24" i="6"/>
  <c r="I69" i="6"/>
  <c r="BF144" i="1"/>
  <c r="BJ144" i="1" s="1"/>
  <c r="M140" i="1" l="1"/>
  <c r="M142" i="1" s="1"/>
  <c r="M143" i="1" s="1"/>
  <c r="M155" i="1"/>
  <c r="P114" i="1"/>
  <c r="Z101" i="1"/>
  <c r="N119" i="1"/>
  <c r="O119" i="1" s="1"/>
  <c r="P119" i="1" s="1"/>
  <c r="Q119" i="1" s="1"/>
  <c r="L119" i="1"/>
  <c r="AB101" i="1"/>
  <c r="BK144" i="1"/>
  <c r="BK149" i="1" s="1"/>
  <c r="BL144" i="1"/>
  <c r="R29" i="1"/>
  <c r="H29" i="6" s="1"/>
  <c r="Z89" i="1"/>
  <c r="AT82" i="1"/>
  <c r="R84" i="1" s="1"/>
  <c r="R89" i="1"/>
  <c r="P155" i="1" l="1"/>
  <c r="M156" i="1"/>
  <c r="M157" i="1" s="1"/>
  <c r="M158" i="1" s="1"/>
  <c r="M159" i="1" s="1"/>
  <c r="P115" i="1"/>
  <c r="P116" i="1"/>
  <c r="M108" i="1"/>
  <c r="M109" i="1" s="1"/>
  <c r="M110" i="1" s="1"/>
  <c r="AH23" i="6"/>
  <c r="AH27" i="6" s="1"/>
  <c r="Z93" i="1"/>
  <c r="AD19" i="6"/>
  <c r="AD23" i="6"/>
  <c r="H68" i="6"/>
  <c r="D91" i="1"/>
  <c r="S29" i="1"/>
  <c r="H28" i="6"/>
  <c r="S84" i="1"/>
  <c r="S28" i="1"/>
  <c r="P156" i="1" l="1"/>
  <c r="P157" i="1" s="1"/>
  <c r="P158" i="1" s="1"/>
  <c r="P159" i="1" s="1"/>
  <c r="R155" i="1"/>
  <c r="R156" i="1" s="1"/>
  <c r="R157" i="1" s="1"/>
  <c r="R158" i="1" s="1"/>
  <c r="R159" i="1" s="1"/>
  <c r="Z94" i="1"/>
  <c r="R106" i="1"/>
  <c r="S82" i="1"/>
  <c r="S93" i="1" s="1"/>
  <c r="AE27" i="6" s="1"/>
  <c r="AD18" i="6"/>
  <c r="H72" i="6" s="1"/>
  <c r="H73" i="6" s="1"/>
  <c r="R93" i="1"/>
  <c r="I28" i="6"/>
  <c r="S89" i="1"/>
  <c r="R107" i="1" l="1"/>
  <c r="R139" i="1"/>
  <c r="R95" i="1"/>
  <c r="Z97" i="1"/>
  <c r="Z103" i="1" s="1"/>
  <c r="AE18" i="6"/>
  <c r="I72" i="6" s="1"/>
  <c r="P106" i="1"/>
  <c r="R94" i="1"/>
  <c r="AD27" i="6"/>
  <c r="AE23" i="6"/>
  <c r="I68" i="6"/>
  <c r="AX82" i="1"/>
  <c r="AW82" i="1"/>
  <c r="Y28" i="6"/>
  <c r="Z28" i="6"/>
  <c r="O102" i="1"/>
  <c r="R102" i="1"/>
  <c r="R140" i="1" l="1"/>
  <c r="R141" i="1"/>
  <c r="P107" i="1"/>
  <c r="P139" i="1"/>
  <c r="R108" i="1"/>
  <c r="R109" i="1" s="1"/>
  <c r="R110" i="1" s="1"/>
  <c r="AB103" i="1"/>
  <c r="R114" i="1"/>
  <c r="AB97" i="1"/>
  <c r="AD28" i="6"/>
  <c r="P140" i="1" l="1"/>
  <c r="P141" i="1"/>
  <c r="R142" i="1"/>
  <c r="R143" i="1" s="1"/>
  <c r="R115" i="1"/>
  <c r="R116" i="1"/>
  <c r="P108" i="1"/>
  <c r="P109" i="1" s="1"/>
  <c r="P110" i="1" s="1"/>
  <c r="G14" i="8"/>
  <c r="G16" i="8" s="1"/>
  <c r="G18" i="8" s="1"/>
  <c r="P142" i="1" l="1"/>
  <c r="P143" i="1" s="1"/>
</calcChain>
</file>

<file path=xl/sharedStrings.xml><?xml version="1.0" encoding="utf-8"?>
<sst xmlns="http://schemas.openxmlformats.org/spreadsheetml/2006/main" count="937" uniqueCount="524">
  <si>
    <t>Algèbre</t>
  </si>
  <si>
    <t>Equation du premier degré</t>
  </si>
  <si>
    <t>Equation du second degré</t>
  </si>
  <si>
    <t>Analyse</t>
  </si>
  <si>
    <t>Limites :</t>
  </si>
  <si>
    <t>Série limitées :</t>
  </si>
  <si>
    <t>Intégrale :</t>
  </si>
  <si>
    <t>Géométrie</t>
  </si>
  <si>
    <t>Identités remarquables</t>
  </si>
  <si>
    <t>Géométrie triangulaire</t>
  </si>
  <si>
    <t>dérivée successives</t>
  </si>
  <si>
    <t>Analyse combinatoire</t>
  </si>
  <si>
    <t>Racine carrée, nième</t>
  </si>
  <si>
    <t>Sommations</t>
  </si>
  <si>
    <t>Système d’équation 2 2</t>
  </si>
  <si>
    <t>système d'équation 3,2</t>
  </si>
  <si>
    <t>Calculs matriciels</t>
  </si>
  <si>
    <t>0 D</t>
  </si>
  <si>
    <t>Le nombre pi</t>
  </si>
  <si>
    <t>Système d’équation 3.3</t>
  </si>
  <si>
    <t>Nombres complexes</t>
  </si>
  <si>
    <t>x</t>
  </si>
  <si>
    <t>Progression &amp; logarithmes</t>
  </si>
  <si>
    <t>Calculs financier</t>
  </si>
  <si>
    <t>Aire surface</t>
  </si>
  <si>
    <t>Volume</t>
  </si>
  <si>
    <t>Géométrie polygonales</t>
  </si>
  <si>
    <t>Σ</t>
  </si>
  <si>
    <t>Somme :</t>
  </si>
  <si>
    <t>Formule générale des développements</t>
  </si>
  <si>
    <t>Formule générale des séries</t>
  </si>
  <si>
    <t>Calcul hyperbolique</t>
  </si>
  <si>
    <t>Différentielle partielles</t>
  </si>
  <si>
    <t>Dérivée : formule générale</t>
  </si>
  <si>
    <t>Intégrale : formule générale</t>
  </si>
  <si>
    <t>Intégrale définie</t>
  </si>
  <si>
    <t>Equation du quatrième degré</t>
  </si>
  <si>
    <t>Equation différentielles</t>
  </si>
  <si>
    <t>Calcul vectoriel</t>
  </si>
  <si>
    <t>Géométrie plane</t>
  </si>
  <si>
    <t>Géométrie analytique</t>
  </si>
  <si>
    <t>Conique</t>
  </si>
  <si>
    <t>Total</t>
  </si>
  <si>
    <t>Courbes diverses</t>
  </si>
  <si>
    <t>Calculs arithmético-algébrique</t>
  </si>
  <si>
    <t>Polynôme rationnelle</t>
  </si>
  <si>
    <t>Carré</t>
  </si>
  <si>
    <t>rectangle</t>
  </si>
  <si>
    <t>paralélogramme</t>
  </si>
  <si>
    <t>triangle rectangle isocèle</t>
  </si>
  <si>
    <t>triangle rectangle</t>
  </si>
  <si>
    <t>triangle isocèle</t>
  </si>
  <si>
    <t>triangle équilatérale</t>
  </si>
  <si>
    <t>Médiatrice</t>
  </si>
  <si>
    <t>Milieu</t>
  </si>
  <si>
    <t>losange</t>
  </si>
  <si>
    <t>Polygnone régulier :</t>
  </si>
  <si>
    <t>Pentagone</t>
  </si>
  <si>
    <t>Hexagone</t>
  </si>
  <si>
    <t>octogone</t>
  </si>
  <si>
    <t>décagone</t>
  </si>
  <si>
    <t>dodécagone</t>
  </si>
  <si>
    <t>pentadécagone</t>
  </si>
  <si>
    <t>hexadécagone</t>
  </si>
  <si>
    <t>octodécagone</t>
  </si>
  <si>
    <t>Le degré</t>
  </si>
  <si>
    <t>Le raporteur</t>
  </si>
  <si>
    <t>icosagone</t>
  </si>
  <si>
    <t>Ennéagone</t>
  </si>
  <si>
    <t>trajectoire circulaire du cercle</t>
  </si>
  <si>
    <t>cône</t>
  </si>
  <si>
    <t>tronc d'un cone</t>
  </si>
  <si>
    <t>couronne</t>
  </si>
  <si>
    <t>fuseau</t>
  </si>
  <si>
    <t>calotte</t>
  </si>
  <si>
    <t>Tore</t>
  </si>
  <si>
    <t>segment sphérique</t>
  </si>
  <si>
    <t>secteur sphérique</t>
  </si>
  <si>
    <t>cylindre</t>
  </si>
  <si>
    <t>cube</t>
  </si>
  <si>
    <t>parallélépipède</t>
  </si>
  <si>
    <t>pyramide</t>
  </si>
  <si>
    <t>tronc d'une pyramide</t>
  </si>
  <si>
    <t>Ellipsoïde</t>
  </si>
  <si>
    <t>Effet sphérique</t>
  </si>
  <si>
    <t>trajectoire elliptique du cercle &amp; l'ellipse</t>
  </si>
  <si>
    <t>spirale</t>
  </si>
  <si>
    <t>Formulaire</t>
  </si>
  <si>
    <t>différentielle nième</t>
  </si>
  <si>
    <t>Dérivées premières</t>
  </si>
  <si>
    <t>Equation du cinquième degré</t>
  </si>
  <si>
    <t>Droite</t>
  </si>
  <si>
    <t>Parabole</t>
  </si>
  <si>
    <t>Hyperbole</t>
  </si>
  <si>
    <t>Sphère</t>
  </si>
  <si>
    <t xml:space="preserve"> / </t>
  </si>
  <si>
    <t xml:space="preserve"> % </t>
  </si>
  <si>
    <t>Site</t>
  </si>
  <si>
    <t>n° 01</t>
  </si>
  <si>
    <t>²</t>
  </si>
  <si>
    <t>Intégrale double</t>
  </si>
  <si>
    <t>Intégrale triple</t>
  </si>
  <si>
    <t>Fonctions</t>
  </si>
  <si>
    <t>Trigonométrie circulaire</t>
  </si>
  <si>
    <t xml:space="preserve"> %</t>
  </si>
  <si>
    <t>Suite numérique</t>
  </si>
  <si>
    <t>Formules et méthodes démontrées</t>
  </si>
  <si>
    <t>Méthodes et formules démontrées</t>
  </si>
  <si>
    <r>
      <t>Equation polygonales (</t>
    </r>
    <r>
      <rPr>
        <sz val="11"/>
        <color theme="1"/>
        <rFont val="Arial"/>
        <family val="2"/>
      </rPr>
      <t>Ɣ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Symbol"/>
        <family val="1"/>
        <charset val="2"/>
      </rPr>
      <t>^</t>
    </r>
    <r>
      <rPr>
        <sz val="11"/>
        <color theme="1"/>
        <rFont val="Times New Roman"/>
        <family val="1"/>
      </rPr>
      <t xml:space="preserve">, </t>
    </r>
    <r>
      <rPr>
        <sz val="11"/>
        <color theme="1"/>
        <rFont val="Arial"/>
        <family val="2"/>
      </rPr>
      <t>Ɣ</t>
    </r>
    <r>
      <rPr>
        <sz val="11"/>
        <color theme="1"/>
        <rFont val="Times New Roman"/>
        <family val="1"/>
      </rPr>
      <t xml:space="preserve"> // ; </t>
    </r>
    <r>
      <rPr>
        <sz val="11"/>
        <color theme="1"/>
        <rFont val="Arial"/>
        <family val="2"/>
      </rPr>
      <t xml:space="preserve">Ɣ </t>
    </r>
    <r>
      <rPr>
        <sz val="11"/>
        <color theme="1"/>
        <rFont val="Times New Roman"/>
        <family val="1"/>
      </rPr>
      <t>cord, r)</t>
    </r>
  </si>
  <si>
    <t>Equation polynomiales</t>
  </si>
  <si>
    <t>Erudit</t>
  </si>
  <si>
    <t>découverte, amélioration</t>
  </si>
  <si>
    <t>Amélioration</t>
  </si>
  <si>
    <t>Découverte, amélioration</t>
  </si>
  <si>
    <t>Découvete, amélioration</t>
  </si>
  <si>
    <t>Découverte, Autodidacte, amélioriation</t>
  </si>
  <si>
    <t>scolaire</t>
  </si>
  <si>
    <t>Découverte</t>
  </si>
  <si>
    <t>Découverte, Amélioration, livre(infime)</t>
  </si>
  <si>
    <t>Livres</t>
  </si>
  <si>
    <t>autodidacte</t>
  </si>
  <si>
    <t>Erudit, autodidacte</t>
  </si>
  <si>
    <t>Découverte &amp; amélioration</t>
  </si>
  <si>
    <t>Scolaire</t>
  </si>
  <si>
    <t>Découverte &amp; amélioration, dérivée succéssives</t>
  </si>
  <si>
    <t>Découverte, formulaire</t>
  </si>
  <si>
    <t>scolatique</t>
  </si>
  <si>
    <t>Découverte &amp; formulaire</t>
  </si>
  <si>
    <t xml:space="preserve">Amélioration, formulaire </t>
  </si>
  <si>
    <t>Erudit, scolaire</t>
  </si>
  <si>
    <t>Système gaussien</t>
  </si>
  <si>
    <t>Fonctions Rationnelles</t>
  </si>
  <si>
    <t>Fonction Irrationnelles</t>
  </si>
  <si>
    <t>Fonctions trigonométriques</t>
  </si>
  <si>
    <t>Fonctions trigonométrique réciproques</t>
  </si>
  <si>
    <t>Fonction exponentielles</t>
  </si>
  <si>
    <t xml:space="preserve">Fonctions Logarithmes (21+ 16 - 7 ) </t>
  </si>
  <si>
    <t>D</t>
  </si>
  <si>
    <t>1/2 D</t>
  </si>
  <si>
    <t>nb côté</t>
  </si>
  <si>
    <t>Libéllé</t>
  </si>
  <si>
    <t>Racine ( carré, cubique, n ième )</t>
  </si>
  <si>
    <t xml:space="preserve">Nombre d'objet découvert : </t>
  </si>
  <si>
    <t xml:space="preserve">Nombre d'objet tracé : </t>
  </si>
  <si>
    <t xml:space="preserve">Nombre d'objet modifié :  </t>
  </si>
  <si>
    <t xml:space="preserve">Nombre d'objet Découvert ou Modifié : </t>
  </si>
  <si>
    <t xml:space="preserve">Nombre d'objet construit : </t>
  </si>
  <si>
    <t xml:space="preserve"> = </t>
  </si>
  <si>
    <t>dos</t>
  </si>
  <si>
    <t>%</t>
  </si>
  <si>
    <t>nb</t>
  </si>
  <si>
    <t xml:space="preserve"> de l'algèbre</t>
  </si>
  <si>
    <t xml:space="preserve"> ( </t>
  </si>
  <si>
    <t xml:space="preserve"> ) </t>
  </si>
  <si>
    <t xml:space="preserve"> dossiers</t>
  </si>
  <si>
    <t xml:space="preserve"> dossiers </t>
  </si>
  <si>
    <t>Aire, surface</t>
  </si>
  <si>
    <t>Forme quadratique :</t>
  </si>
  <si>
    <t>Forme sphérique :</t>
  </si>
  <si>
    <t>Hyperboloïde</t>
  </si>
  <si>
    <t>Paraboloïde</t>
  </si>
  <si>
    <t xml:space="preserve">Nombre d'objet construit  : </t>
  </si>
  <si>
    <t xml:space="preserve">Le cercle </t>
  </si>
  <si>
    <t>T</t>
  </si>
  <si>
    <t>Quadrilatère régulier :</t>
  </si>
  <si>
    <t>Perpendiculaire</t>
  </si>
  <si>
    <t>Bissectrice</t>
  </si>
  <si>
    <t>tangente</t>
  </si>
  <si>
    <t>Arc sin, Arc cos, Arc tan</t>
  </si>
  <si>
    <t>Exponentielle</t>
  </si>
  <si>
    <t>sinusoïdale, cosinusoïdale</t>
  </si>
  <si>
    <t>Σ T</t>
  </si>
  <si>
    <t>DM</t>
  </si>
  <si>
    <t>M &amp; D</t>
  </si>
  <si>
    <t>fonction analytique dans le plan</t>
  </si>
  <si>
    <t>Polyèdre régulier</t>
  </si>
  <si>
    <t>polynomiale</t>
  </si>
  <si>
    <t>rationnelle</t>
  </si>
  <si>
    <t>irrationnelle</t>
  </si>
  <si>
    <t>trigonométrique</t>
  </si>
  <si>
    <t>trigo réciproque</t>
  </si>
  <si>
    <t>ln</t>
  </si>
  <si>
    <t>e^x</t>
  </si>
  <si>
    <t>trigo hyperboliqeu</t>
  </si>
  <si>
    <t>arg trigo</t>
  </si>
  <si>
    <t>Courbe hyperbollque Ch, Sh, Th</t>
  </si>
  <si>
    <t>Rotation de la droite</t>
  </si>
  <si>
    <t>spirale Btèr (ou naturelle)</t>
  </si>
  <si>
    <t>spirale Nert (ou circonscrite)</t>
  </si>
  <si>
    <t>Spirale régulière Nert</t>
  </si>
  <si>
    <t>6ième</t>
  </si>
  <si>
    <t>5ième</t>
  </si>
  <si>
    <t>4ième</t>
  </si>
  <si>
    <t>3ième</t>
  </si>
  <si>
    <t>Bep orsu 1</t>
  </si>
  <si>
    <t>Bep compta 1</t>
  </si>
  <si>
    <t xml:space="preserve">Bep compta </t>
  </si>
  <si>
    <t>DEAU</t>
  </si>
  <si>
    <t>Scolaire (Algèbre)</t>
  </si>
  <si>
    <t>exp</t>
  </si>
  <si>
    <t>série calculatrice</t>
  </si>
  <si>
    <t>différentielle</t>
  </si>
  <si>
    <t>Cercle, Ellipse</t>
  </si>
  <si>
    <t>Extra scolaire</t>
  </si>
  <si>
    <t>dossier (1 mois)</t>
  </si>
  <si>
    <t>ans</t>
  </si>
  <si>
    <t xml:space="preserve">  ans</t>
  </si>
  <si>
    <t xml:space="preserve"> Mois</t>
  </si>
  <si>
    <t>série littérale</t>
  </si>
  <si>
    <t>dérivée succéssives</t>
  </si>
  <si>
    <t xml:space="preserve"> &amp; </t>
  </si>
  <si>
    <t xml:space="preserve"> ans</t>
  </si>
  <si>
    <t xml:space="preserve"> Années </t>
  </si>
  <si>
    <t>en modification</t>
  </si>
  <si>
    <t>BEP Electrotech</t>
  </si>
  <si>
    <t>h</t>
  </si>
  <si>
    <t xml:space="preserve"> heures </t>
  </si>
  <si>
    <t xml:space="preserve"> (</t>
  </si>
  <si>
    <t>Gauss (3 ; 3)</t>
  </si>
  <si>
    <t xml:space="preserve"> Ans  </t>
  </si>
  <si>
    <t>M</t>
  </si>
  <si>
    <t xml:space="preserve">Durée Moyenne du dossier formulée : </t>
  </si>
  <si>
    <t xml:space="preserve">Temps total du dossier formulée : </t>
  </si>
  <si>
    <t>5 Années de formules modifiés</t>
  </si>
  <si>
    <t>4 ans de mathématiques semi professionnelle (DEAU, Blog)</t>
  </si>
  <si>
    <t xml:space="preserve">Mathématique annuelle : </t>
  </si>
  <si>
    <t>7 Années de formules découvertes</t>
  </si>
  <si>
    <t>Nombre d'idée annuelle en mathématiques</t>
  </si>
  <si>
    <t>Moyenne d'idée fondamentale par an :</t>
  </si>
  <si>
    <t>Nombre d'idée fondamentale annuelle :</t>
  </si>
  <si>
    <t xml:space="preserve"> années</t>
  </si>
  <si>
    <t xml:space="preserve">Nombre d'année d'idée fondamentale : </t>
  </si>
  <si>
    <t>Durée Moyenne du traitement du dossier (ouvert et fermée) : 1 Mois</t>
  </si>
  <si>
    <t xml:space="preserve">Mathématique annuelle : 22 Années </t>
  </si>
  <si>
    <t>Mathématique hebdomadaire (6ième à aujourd'hui) :</t>
  </si>
  <si>
    <t>Nombre d'année d'idée fondamentale : 8 années / 22 ans = 36,36%</t>
  </si>
  <si>
    <t>3 Ans de mathématiques  semi professionnelle</t>
  </si>
  <si>
    <t xml:space="preserve">1752 heures de mathématique hebodomadaire ( 83 Mois = 7 ans ) </t>
  </si>
  <si>
    <t>Ellipse focal oblique</t>
  </si>
  <si>
    <t>Ellipse focal axial</t>
  </si>
  <si>
    <t>Courbe hyperbolique réciproque</t>
  </si>
  <si>
    <t xml:space="preserve">Spirale Agrégée (ou </t>
  </si>
  <si>
    <t>Trigonométrie circulaire</t>
  </si>
  <si>
    <t>Courbe logarithmique</t>
  </si>
  <si>
    <t>Temps total du traitement du dossier (ouvert &amp; fermée) : 1  ans &amp; 9 Mois</t>
  </si>
  <si>
    <t xml:space="preserve">Equation du troisième degré </t>
  </si>
  <si>
    <t>Système d’équation 3.3 (15 formes ¹ )</t>
  </si>
  <si>
    <t xml:space="preserve">Géométrie ( 2 dossiers / 10 = 20% ) </t>
  </si>
  <si>
    <t xml:space="preserve">Analyse ( 4 dossiers / 20 = 20% ) </t>
  </si>
  <si>
    <t>de mathématique scolaire compilées</t>
  </si>
  <si>
    <t>de mathématique hebodomadaire compilées</t>
  </si>
  <si>
    <t>de formules modifiés cumulées</t>
  </si>
  <si>
    <t xml:space="preserve"> de mathématiques  semi professionnelle compilées</t>
  </si>
  <si>
    <t>formule découverte cumulées</t>
  </si>
  <si>
    <t>3 ième</t>
  </si>
  <si>
    <t>6 ième</t>
  </si>
  <si>
    <t>5 ième</t>
  </si>
  <si>
    <t>4 ième</t>
  </si>
  <si>
    <t>BEP ORSU</t>
  </si>
  <si>
    <t>BEP ACC</t>
  </si>
  <si>
    <t>1ère G2</t>
  </si>
  <si>
    <t>Term G2</t>
  </si>
  <si>
    <t>BEP Electrotechnique</t>
  </si>
  <si>
    <t>BEP Electrotechique</t>
  </si>
  <si>
    <t>m</t>
  </si>
  <si>
    <t>A</t>
  </si>
  <si>
    <t>mois</t>
  </si>
  <si>
    <t>Gauss</t>
  </si>
  <si>
    <t>Différentielle</t>
  </si>
  <si>
    <t>cercle, Ellipse</t>
  </si>
  <si>
    <t>Série de la calculatrice</t>
  </si>
  <si>
    <t>Exponentielle (Calculatrice)</t>
  </si>
  <si>
    <t>2 ième</t>
  </si>
  <si>
    <t>BEP Compta</t>
  </si>
  <si>
    <t>Dérivés successives, Série Limitées</t>
  </si>
  <si>
    <t>Différentielle nième (sigma)</t>
  </si>
  <si>
    <t>Différentielle ( u + delat U)</t>
  </si>
  <si>
    <t>Morez</t>
  </si>
  <si>
    <t>Champagnole</t>
  </si>
  <si>
    <t>Lons le saunier</t>
  </si>
  <si>
    <t>Besançon</t>
  </si>
  <si>
    <t>Morez, Informatique, Works</t>
  </si>
  <si>
    <t>Saisie informatique</t>
  </si>
  <si>
    <t>Informatique, Excel</t>
  </si>
  <si>
    <t>Informatique Excel</t>
  </si>
  <si>
    <t>Années</t>
  </si>
  <si>
    <t>Algèbre scolaire</t>
  </si>
  <si>
    <t>Concaténation des fonctions</t>
  </si>
  <si>
    <t>Année</t>
  </si>
  <si>
    <t>session</t>
  </si>
  <si>
    <t>nb formules  (Date D-1 ; D )</t>
  </si>
  <si>
    <t>double</t>
  </si>
  <si>
    <t>double dans le même domaine</t>
  </si>
  <si>
    <t>Nombre</t>
  </si>
  <si>
    <t>chapitre</t>
  </si>
  <si>
    <t>2x</t>
  </si>
  <si>
    <t>2Xn</t>
  </si>
  <si>
    <t>Nombre de formule écrite :</t>
  </si>
  <si>
    <t>Equations différentielles</t>
  </si>
  <si>
    <t>Equations quadratique</t>
  </si>
  <si>
    <t>EQUIPE 21</t>
  </si>
  <si>
    <t>Arithm.</t>
  </si>
  <si>
    <t>Alg.</t>
  </si>
  <si>
    <t>Anal.</t>
  </si>
  <si>
    <t>Géo.</t>
  </si>
  <si>
    <t>Non divulgué</t>
  </si>
  <si>
    <t>copié</t>
  </si>
  <si>
    <t>stat</t>
  </si>
  <si>
    <t>proba</t>
  </si>
  <si>
    <t>Dossier inconnu</t>
  </si>
  <si>
    <t>Formules modifié</t>
  </si>
  <si>
    <t>Formule reconstitué</t>
  </si>
  <si>
    <t>Min</t>
  </si>
  <si>
    <t>Max</t>
  </si>
  <si>
    <t>Moy</t>
  </si>
  <si>
    <t>Rotation de la perpendiculaire</t>
  </si>
  <si>
    <t>Rotation du repère carthésien</t>
  </si>
  <si>
    <t>Droite (horizontale, verticale, oblique )</t>
  </si>
  <si>
    <t>différentielle nième (44) ; (Formul G &amp; listes)</t>
  </si>
  <si>
    <t>OD</t>
  </si>
  <si>
    <t>F</t>
  </si>
  <si>
    <t>Mon</t>
  </si>
  <si>
    <t>Leur</t>
  </si>
  <si>
    <t>Total (fonction Min, Moy, Max</t>
  </si>
  <si>
    <t>Moyenne sur 52 dossier</t>
  </si>
  <si>
    <t>Septembre</t>
  </si>
  <si>
    <t>Janvier</t>
  </si>
  <si>
    <t>Février</t>
  </si>
  <si>
    <t>Mars</t>
  </si>
  <si>
    <t>Mai</t>
  </si>
  <si>
    <t>Juin</t>
  </si>
  <si>
    <t>Juillet</t>
  </si>
  <si>
    <t>Aout</t>
  </si>
  <si>
    <t>Novembre</t>
  </si>
  <si>
    <t>Décembre</t>
  </si>
  <si>
    <t>Septembre 2016</t>
  </si>
  <si>
    <t>Janvier 2017</t>
  </si>
  <si>
    <t>Février 2017</t>
  </si>
  <si>
    <t>Mars 2017</t>
  </si>
  <si>
    <t>Mai 2017</t>
  </si>
  <si>
    <t>Juin 2017</t>
  </si>
  <si>
    <t>Juillet 2017</t>
  </si>
  <si>
    <t>Aout 2017</t>
  </si>
  <si>
    <t>Septembre 2017</t>
  </si>
  <si>
    <t>Novembre 2017</t>
  </si>
  <si>
    <t>Décembre 2017</t>
  </si>
  <si>
    <t>Refondés</t>
  </si>
  <si>
    <t>Reconstitué</t>
  </si>
  <si>
    <t>Dévoilé</t>
  </si>
  <si>
    <t>Modifié</t>
  </si>
  <si>
    <t>Reformaté</t>
  </si>
  <si>
    <t>Mois</t>
  </si>
  <si>
    <t>n-1</t>
  </si>
  <si>
    <t>Nombre de formule écrites</t>
  </si>
  <si>
    <t>Trigonométrie hyperbolique</t>
  </si>
  <si>
    <t>Dérivée successive, suite numérique</t>
  </si>
  <si>
    <t>Fonction hyperbolqiue</t>
  </si>
  <si>
    <t>Intégrale : Généralité et type d'intégration</t>
  </si>
  <si>
    <t>Intégrales usuelles de fonction de référence</t>
  </si>
  <si>
    <t>Fonction Polynomiales</t>
  </si>
  <si>
    <t>Nombre de formule écrites (double ; doublet) :</t>
  </si>
  <si>
    <t>Org.</t>
  </si>
  <si>
    <t>Séries limitées :</t>
  </si>
  <si>
    <t>nombre de dossiers</t>
  </si>
  <si>
    <t>Nombre de dossiers</t>
  </si>
  <si>
    <t>Nombre de dossier incomplet</t>
  </si>
  <si>
    <t xml:space="preserve">Total de Dossier et formule écrites (2ble) : </t>
  </si>
  <si>
    <t>Mes stats</t>
  </si>
  <si>
    <t>nb année</t>
  </si>
  <si>
    <t>Nb formule</t>
  </si>
  <si>
    <t>nb formule sur 9 mois</t>
  </si>
  <si>
    <t>nb formule par mois</t>
  </si>
  <si>
    <t>nb formule par semaine</t>
  </si>
  <si>
    <t>nb formule par séance ( 3 séance de 2 h)</t>
  </si>
  <si>
    <t>cop</t>
  </si>
  <si>
    <t>n°</t>
  </si>
  <si>
    <t>01</t>
  </si>
  <si>
    <t>nb D</t>
  </si>
  <si>
    <t>1/ D</t>
  </si>
  <si>
    <t>1 D</t>
  </si>
  <si>
    <t>nb formules</t>
  </si>
  <si>
    <t>rcor</t>
  </si>
  <si>
    <t>nb f</t>
  </si>
  <si>
    <t>Nombre de dossier modié</t>
  </si>
  <si>
    <t>=</t>
  </si>
  <si>
    <t>)</t>
  </si>
  <si>
    <t xml:space="preserve"> dossiers modifiés </t>
  </si>
  <si>
    <t xml:space="preserve">( </t>
  </si>
  <si>
    <t>PRIVES</t>
  </si>
  <si>
    <t>D'après les livres, liste, table, formulaire Dunot</t>
  </si>
  <si>
    <t>PERSO</t>
  </si>
  <si>
    <t>Collect</t>
  </si>
  <si>
    <t>Ind</t>
  </si>
  <si>
    <t>Livre</t>
  </si>
  <si>
    <t>n°1</t>
  </si>
  <si>
    <t>Dossier</t>
  </si>
  <si>
    <t>Statisque personnel non prouvable</t>
  </si>
  <si>
    <t>Alg</t>
  </si>
  <si>
    <t>An</t>
  </si>
  <si>
    <t>G</t>
  </si>
  <si>
    <t>Org</t>
  </si>
  <si>
    <t>1/2 T</t>
  </si>
  <si>
    <t xml:space="preserve">Total du Nombre d'objets </t>
  </si>
  <si>
    <t>nb formule sur 2 ans</t>
  </si>
  <si>
    <t>Limites : ( limite ,n ième  )</t>
  </si>
  <si>
    <t xml:space="preserve"> Ans</t>
  </si>
  <si>
    <t xml:space="preserve"> Années</t>
  </si>
  <si>
    <t xml:space="preserve"> de mathématiques  semi professionnelle</t>
  </si>
  <si>
    <t xml:space="preserve"> Mathématique annuelle :  </t>
  </si>
  <si>
    <t>de formules modifiés</t>
  </si>
  <si>
    <t>de formules découvertes</t>
  </si>
  <si>
    <t>nb années</t>
  </si>
  <si>
    <t>Soit les démonstrations existe déjà :</t>
  </si>
  <si>
    <t>1-3 L</t>
  </si>
  <si>
    <t>10-30 " à 2 '</t>
  </si>
  <si>
    <t>pages</t>
  </si>
  <si>
    <t>Arithmétique</t>
  </si>
  <si>
    <t>Statistique</t>
  </si>
  <si>
    <t>Probabilité</t>
  </si>
  <si>
    <t>Fonctions Analytique</t>
  </si>
  <si>
    <t>Développement limités (Limites)</t>
  </si>
  <si>
    <t>Equation du troisième degré</t>
  </si>
  <si>
    <t>nb pages</t>
  </si>
  <si>
    <t>Calcul algébrique</t>
  </si>
  <si>
    <t>Equation du 1er degré</t>
  </si>
  <si>
    <t>Equasys 2 2</t>
  </si>
  <si>
    <t>Equasys 3,3</t>
  </si>
  <si>
    <t>Trigonométrie baique</t>
  </si>
  <si>
    <t>Nombre complexe</t>
  </si>
  <si>
    <t>Calcul Matriciel</t>
  </si>
  <si>
    <t>Algèbre financière</t>
  </si>
  <si>
    <t>Calculs différentielles</t>
  </si>
  <si>
    <t>Calculs Intégrales</t>
  </si>
  <si>
    <t>Application numérique</t>
  </si>
  <si>
    <t>Polynôme de Tchébytchev</t>
  </si>
  <si>
    <t>Trigonométrie Circulaire</t>
  </si>
  <si>
    <t>Gémétrie triangulaire</t>
  </si>
  <si>
    <t>Trigonométrie Elliptique</t>
  </si>
  <si>
    <t>fascicule 1</t>
  </si>
  <si>
    <t>fascicule 2</t>
  </si>
  <si>
    <t>Syntèse</t>
  </si>
  <si>
    <t>nb pages totales</t>
  </si>
  <si>
    <t>Géométries</t>
  </si>
  <si>
    <t>Reconstitution</t>
  </si>
  <si>
    <t>Synthèse Algébrique</t>
  </si>
  <si>
    <t>Synthèse Différentielle</t>
  </si>
  <si>
    <t>Synthèse Trignométrique</t>
  </si>
  <si>
    <t>Formulaire organigraphique</t>
  </si>
  <si>
    <t>par</t>
  </si>
  <si>
    <t>fascicules</t>
  </si>
  <si>
    <t>Fascicules</t>
  </si>
  <si>
    <t>Fascicule</t>
  </si>
  <si>
    <t>synthèse</t>
  </si>
  <si>
    <t>Organigraphe</t>
  </si>
  <si>
    <t>VIRUS</t>
  </si>
  <si>
    <t>INFORMATIQUE</t>
  </si>
  <si>
    <t>de mes</t>
  </si>
  <si>
    <t>TOTAL</t>
  </si>
  <si>
    <t>A LA POUBELLE</t>
  </si>
  <si>
    <t xml:space="preserve">DES </t>
  </si>
  <si>
    <t>PAGES</t>
  </si>
  <si>
    <t>ECRITES</t>
  </si>
  <si>
    <t>DETRUIT PAR</t>
  </si>
  <si>
    <t>3/4 D</t>
  </si>
  <si>
    <t>1/4 D</t>
  </si>
  <si>
    <t>1 L</t>
  </si>
  <si>
    <t xml:space="preserve">     Fonction du premier degré</t>
  </si>
  <si>
    <t xml:space="preserve">     Fonction du second degré</t>
  </si>
  <si>
    <t xml:space="preserve">     Fonction du troisième degré</t>
  </si>
  <si>
    <t>Géométrie Vectorielle</t>
  </si>
  <si>
    <t>1D</t>
  </si>
  <si>
    <t>:</t>
  </si>
  <si>
    <t>S. arithmétique, géométrique, logarithmique</t>
  </si>
  <si>
    <t>Différentielle partielles (6 form &amp; 2 formul)</t>
  </si>
  <si>
    <t>sur :</t>
  </si>
  <si>
    <t xml:space="preserve">Analyse </t>
  </si>
  <si>
    <t>Analyse fonctionnelle</t>
  </si>
  <si>
    <t>Nombre de Mois :</t>
  </si>
  <si>
    <t>DEAU ( 2 ans )</t>
  </si>
  <si>
    <r>
      <t xml:space="preserve">Equation polygonales (Ɣ//, Ɣ </t>
    </r>
    <r>
      <rPr>
        <sz val="10"/>
        <color theme="1"/>
        <rFont val="Euclid Symbol"/>
        <family val="1"/>
        <charset val="2"/>
      </rPr>
      <t>^</t>
    </r>
    <r>
      <rPr>
        <sz val="10"/>
        <color theme="1"/>
        <rFont val="Times New Roman"/>
        <family val="1"/>
      </rPr>
      <t xml:space="preserve"> ; Ɣ cord,)</t>
    </r>
  </si>
  <si>
    <t>Total ( Nb dossier complet, formules)</t>
  </si>
  <si>
    <t xml:space="preserve">Formules démontrées non dévoilées : </t>
  </si>
  <si>
    <t>Formules modifiées entre 98% à 50%</t>
  </si>
  <si>
    <t>JT :</t>
  </si>
  <si>
    <t>Toile</t>
  </si>
  <si>
    <t>de</t>
  </si>
  <si>
    <t>Ellipse</t>
  </si>
  <si>
    <t>Spirale</t>
  </si>
  <si>
    <t>X</t>
  </si>
  <si>
    <t>Double</t>
  </si>
  <si>
    <t>JT ; AFP</t>
  </si>
  <si>
    <t>Pourcentage</t>
  </si>
  <si>
    <t>par dossier</t>
  </si>
  <si>
    <t>Nombre de dossier sup à 100 % sur 50</t>
  </si>
  <si>
    <t>Rotation de la corde d'un cercle</t>
  </si>
  <si>
    <t>Rotation de l'éllipse</t>
  </si>
  <si>
    <t>Rotation de polygones</t>
  </si>
  <si>
    <t>Rotation circulaire du point</t>
  </si>
  <si>
    <t>Rotation élliptique du point</t>
  </si>
  <si>
    <r>
      <t>f(</t>
    </r>
    <r>
      <rPr>
        <sz val="10"/>
        <color theme="1"/>
        <rFont val="Calibri"/>
        <family val="2"/>
      </rPr>
      <t>α</t>
    </r>
    <r>
      <rPr>
        <sz val="10"/>
        <color theme="1"/>
        <rFont val="Times New Roman"/>
        <family val="1"/>
      </rPr>
      <t>) X + g(α)</t>
    </r>
  </si>
  <si>
    <t>f = cos</t>
  </si>
  <si>
    <t>g= sn</t>
  </si>
  <si>
    <t>Coefficient</t>
  </si>
  <si>
    <t>Modifiés</t>
  </si>
  <si>
    <t>Copies</t>
  </si>
  <si>
    <t>Reconstitués</t>
  </si>
  <si>
    <t>Nombre de point</t>
  </si>
  <si>
    <t>Décryptés</t>
  </si>
  <si>
    <t>Objet construit</t>
  </si>
  <si>
    <t>Objet</t>
  </si>
  <si>
    <t>Constitués</t>
  </si>
  <si>
    <t>Découvertes</t>
  </si>
  <si>
    <t>par jour</t>
  </si>
  <si>
    <t>par heure</t>
  </si>
  <si>
    <t xml:space="preserve"> / mois</t>
  </si>
  <si>
    <t xml:space="preserve"> / n année</t>
  </si>
  <si>
    <t xml:space="preserve"> / 10 ans</t>
  </si>
  <si>
    <t xml:space="preserve"> / semaine</t>
  </si>
  <si>
    <t xml:space="preserve"> / Jours</t>
  </si>
  <si>
    <t>Rotation des droites affines et polygonales</t>
  </si>
  <si>
    <t>Ellipse Oblique, Rotation de l'éllipse</t>
  </si>
  <si>
    <t xml:space="preserve">nb </t>
  </si>
  <si>
    <t>KO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</si>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</sst>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Symbol"/>
      <family val="1"/>
      <charset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0"/>
      <color theme="1"/>
      <name val="Euclid Symbol"/>
      <family val="1"/>
      <charset val="2"/>
    </font>
    <font>
      <sz val="10"/>
      <color rgb="FF0000FF"/>
      <name val="Times New Roman"/>
      <family val="1"/>
    </font>
    <font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66FF3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quotePrefix="1"/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12" xfId="0" applyFont="1" applyBorder="1"/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/>
    <xf numFmtId="0" fontId="3" fillId="0" borderId="3" xfId="0" applyFont="1" applyBorder="1"/>
    <xf numFmtId="0" fontId="3" fillId="0" borderId="13" xfId="0" applyFont="1" applyBorder="1" applyAlignment="1">
      <alignment horizontal="center" vertical="center" wrapText="1"/>
    </xf>
    <xf numFmtId="9" fontId="3" fillId="0" borderId="4" xfId="1" applyFont="1" applyBorder="1"/>
    <xf numFmtId="0" fontId="3" fillId="0" borderId="5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9" fontId="3" fillId="0" borderId="6" xfId="1" applyFont="1" applyBorder="1"/>
    <xf numFmtId="0" fontId="3" fillId="0" borderId="2" xfId="0" applyFont="1" applyBorder="1"/>
    <xf numFmtId="0" fontId="3" fillId="0" borderId="14" xfId="0" applyFont="1" applyBorder="1"/>
    <xf numFmtId="0" fontId="3" fillId="0" borderId="14" xfId="0" applyFont="1" applyBorder="1" applyAlignment="1">
      <alignment horizontal="center"/>
    </xf>
    <xf numFmtId="9" fontId="3" fillId="0" borderId="15" xfId="1" applyFont="1" applyBorder="1"/>
    <xf numFmtId="9" fontId="3" fillId="0" borderId="0" xfId="1" applyFont="1" applyBorder="1"/>
    <xf numFmtId="0" fontId="3" fillId="0" borderId="7" xfId="0" applyFont="1" applyBorder="1"/>
    <xf numFmtId="9" fontId="3" fillId="0" borderId="8" xfId="1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15" xfId="0" applyFont="1" applyBorder="1" applyAlignment="1">
      <alignment horizontal="center"/>
    </xf>
    <xf numFmtId="10" fontId="3" fillId="0" borderId="14" xfId="1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0" fontId="3" fillId="0" borderId="15" xfId="1" applyNumberFormat="1" applyFont="1" applyBorder="1" applyAlignment="1">
      <alignment horizontal="center"/>
    </xf>
    <xf numFmtId="0" fontId="2" fillId="0" borderId="0" xfId="0" applyFont="1"/>
    <xf numFmtId="0" fontId="3" fillId="0" borderId="12" xfId="0" applyFont="1" applyFill="1" applyBorder="1" applyAlignment="1">
      <alignment horizontal="center"/>
    </xf>
    <xf numFmtId="1" fontId="0" fillId="0" borderId="0" xfId="0" applyNumberFormat="1"/>
    <xf numFmtId="1" fontId="0" fillId="0" borderId="0" xfId="0" quotePrefix="1" applyNumberFormat="1"/>
    <xf numFmtId="0" fontId="0" fillId="0" borderId="0" xfId="1" applyNumberFormat="1" applyFont="1"/>
    <xf numFmtId="9" fontId="3" fillId="0" borderId="8" xfId="1" applyFont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6" xfId="0" quotePrefix="1" applyFont="1" applyBorder="1"/>
    <xf numFmtId="9" fontId="3" fillId="0" borderId="12" xfId="1" applyFont="1" applyBorder="1" applyAlignment="1">
      <alignment horizontal="center"/>
    </xf>
    <xf numFmtId="0" fontId="3" fillId="0" borderId="12" xfId="0" applyFont="1" applyBorder="1" applyAlignment="1"/>
    <xf numFmtId="0" fontId="3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10" xfId="0" applyFont="1" applyBorder="1" applyAlignment="1">
      <alignment horizontal="left" vertical="center" wrapText="1"/>
    </xf>
    <xf numFmtId="9" fontId="3" fillId="0" borderId="10" xfId="1" applyFont="1" applyBorder="1"/>
    <xf numFmtId="12" fontId="3" fillId="0" borderId="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9" fontId="3" fillId="0" borderId="1" xfId="1" applyFont="1" applyBorder="1"/>
    <xf numFmtId="0" fontId="3" fillId="0" borderId="0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9" fontId="3" fillId="0" borderId="9" xfId="1" applyFont="1" applyBorder="1"/>
    <xf numFmtId="0" fontId="3" fillId="0" borderId="5" xfId="0" applyFont="1" applyBorder="1" applyAlignment="1">
      <alignment horizontal="left" vertical="center" wrapText="1"/>
    </xf>
    <xf numFmtId="12" fontId="3" fillId="0" borderId="1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10" fontId="7" fillId="0" borderId="12" xfId="1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 vertical="center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 vertical="center"/>
    </xf>
    <xf numFmtId="0" fontId="3" fillId="0" borderId="6" xfId="0" applyFont="1" applyFill="1" applyBorder="1" applyAlignment="1">
      <alignment horizontal="center"/>
    </xf>
    <xf numFmtId="0" fontId="3" fillId="0" borderId="13" xfId="0" applyFont="1" applyBorder="1"/>
    <xf numFmtId="0" fontId="3" fillId="0" borderId="0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Fill="1" applyBorder="1"/>
    <xf numFmtId="10" fontId="3" fillId="0" borderId="14" xfId="1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/>
    <xf numFmtId="0" fontId="3" fillId="0" borderId="0" xfId="0" quotePrefix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0" fontId="3" fillId="0" borderId="0" xfId="1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10" fontId="0" fillId="0" borderId="0" xfId="1" applyNumberFormat="1" applyFont="1"/>
    <xf numFmtId="0" fontId="0" fillId="0" borderId="6" xfId="0" applyBorder="1"/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8" fillId="0" borderId="0" xfId="0" applyFont="1"/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10" xfId="0" quotePrefix="1" applyNumberFormat="1" applyFont="1" applyBorder="1" applyAlignment="1">
      <alignment horizontal="center"/>
    </xf>
    <xf numFmtId="0" fontId="3" fillId="0" borderId="10" xfId="1" applyNumberFormat="1" applyFont="1" applyBorder="1" applyAlignment="1">
      <alignment horizontal="center"/>
    </xf>
    <xf numFmtId="0" fontId="3" fillId="0" borderId="11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0" fontId="3" fillId="0" borderId="9" xfId="1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quotePrefix="1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quotePrefix="1" applyFont="1" applyBorder="1"/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9" fontId="0" fillId="0" borderId="0" xfId="1" applyFont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1" applyNumberFormat="1" applyFont="1" applyBorder="1" applyAlignment="1">
      <alignment horizontal="center"/>
    </xf>
    <xf numFmtId="0" fontId="3" fillId="0" borderId="15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0" fontId="3" fillId="2" borderId="10" xfId="1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5" xfId="1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/>
    <xf numFmtId="0" fontId="0" fillId="0" borderId="5" xfId="0" quotePrefix="1" applyBorder="1"/>
    <xf numFmtId="17" fontId="0" fillId="0" borderId="5" xfId="0" applyNumberFormat="1" applyBorder="1"/>
    <xf numFmtId="0" fontId="0" fillId="0" borderId="5" xfId="0" applyBorder="1"/>
    <xf numFmtId="0" fontId="0" fillId="0" borderId="2" xfId="0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/>
    <xf numFmtId="0" fontId="0" fillId="0" borderId="0" xfId="0" applyAlignment="1">
      <alignment horizontal="center"/>
    </xf>
    <xf numFmtId="12" fontId="3" fillId="0" borderId="5" xfId="0" applyNumberFormat="1" applyFont="1" applyBorder="1" applyAlignment="1">
      <alignment horizontal="center" vertical="center" wrapText="1"/>
    </xf>
    <xf numFmtId="0" fontId="3" fillId="0" borderId="12" xfId="1" applyNumberFormat="1" applyFont="1" applyBorder="1" applyAlignment="1">
      <alignment horizontal="center"/>
    </xf>
    <xf numFmtId="0" fontId="3" fillId="2" borderId="9" xfId="1" applyNumberFormat="1" applyFont="1" applyFill="1" applyBorder="1" applyAlignment="1">
      <alignment horizontal="center"/>
    </xf>
    <xf numFmtId="0" fontId="3" fillId="0" borderId="2" xfId="1" applyNumberFormat="1" applyFon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3" fillId="0" borderId="2" xfId="0" quotePrefix="1" applyNumberFormat="1" applyFont="1" applyBorder="1" applyAlignment="1">
      <alignment horizontal="center"/>
    </xf>
    <xf numFmtId="0" fontId="3" fillId="0" borderId="11" xfId="0" quotePrefix="1" applyNumberFormat="1" applyFont="1" applyBorder="1" applyAlignment="1">
      <alignment horizontal="center"/>
    </xf>
    <xf numFmtId="0" fontId="3" fillId="2" borderId="11" xfId="0" quotePrefix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0" fillId="0" borderId="7" xfId="0" applyBorder="1"/>
    <xf numFmtId="0" fontId="3" fillId="0" borderId="2" xfId="0" applyFont="1" applyBorder="1" applyAlignment="1">
      <alignment horizontal="center" vertical="center" wrapText="1"/>
    </xf>
    <xf numFmtId="0" fontId="3" fillId="0" borderId="7" xfId="1" applyNumberFormat="1" applyFont="1" applyBorder="1" applyAlignment="1">
      <alignment horizontal="center"/>
    </xf>
    <xf numFmtId="9" fontId="0" fillId="0" borderId="0" xfId="1" applyFont="1" applyAlignment="1">
      <alignment horizontal="center"/>
    </xf>
    <xf numFmtId="9" fontId="3" fillId="0" borderId="0" xfId="1" applyFont="1" applyBorder="1" applyAlignment="1">
      <alignment horizontal="center"/>
    </xf>
    <xf numFmtId="10" fontId="7" fillId="0" borderId="0" xfId="1" applyNumberFormat="1" applyFon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3" xfId="1" applyNumberFormat="1" applyFont="1" applyBorder="1" applyAlignment="1">
      <alignment horizontal="center"/>
    </xf>
    <xf numFmtId="0" fontId="3" fillId="0" borderId="4" xfId="1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6" xfId="0" quotePrefix="1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9" xfId="0" applyFont="1" applyBorder="1" applyAlignment="1"/>
    <xf numFmtId="0" fontId="0" fillId="0" borderId="9" xfId="0" applyBorder="1"/>
    <xf numFmtId="0" fontId="3" fillId="0" borderId="8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/>
    <xf numFmtId="0" fontId="3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/>
    <xf numFmtId="0" fontId="0" fillId="0" borderId="4" xfId="0" applyBorder="1"/>
    <xf numFmtId="0" fontId="3" fillId="0" borderId="0" xfId="0" quotePrefix="1" applyFont="1" applyBorder="1"/>
    <xf numFmtId="0" fontId="3" fillId="0" borderId="12" xfId="0" quotePrefix="1" applyFont="1" applyBorder="1" applyAlignment="1">
      <alignment horizontal="center" vertical="center" wrapText="1"/>
    </xf>
    <xf numFmtId="9" fontId="7" fillId="0" borderId="12" xfId="1" applyNumberFormat="1" applyFont="1" applyBorder="1" applyAlignment="1">
      <alignment horizontal="center"/>
    </xf>
    <xf numFmtId="10" fontId="0" fillId="0" borderId="0" xfId="1" applyNumberFormat="1" applyFont="1" applyBorder="1"/>
    <xf numFmtId="10" fontId="10" fillId="0" borderId="12" xfId="1" applyNumberFormat="1" applyFont="1" applyBorder="1" applyAlignment="1">
      <alignment horizontal="center"/>
    </xf>
    <xf numFmtId="9" fontId="11" fillId="0" borderId="12" xfId="1" applyFont="1" applyBorder="1" applyAlignment="1">
      <alignment horizontal="center"/>
    </xf>
    <xf numFmtId="0" fontId="11" fillId="0" borderId="12" xfId="1" applyNumberFormat="1" applyFont="1" applyBorder="1" applyAlignment="1">
      <alignment horizontal="center"/>
    </xf>
    <xf numFmtId="9" fontId="3" fillId="0" borderId="13" xfId="1" applyFont="1" applyBorder="1" applyAlignment="1">
      <alignment horizontal="center"/>
    </xf>
    <xf numFmtId="9" fontId="3" fillId="0" borderId="4" xfId="1" applyFont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9" fontId="3" fillId="0" borderId="3" xfId="0" applyNumberFormat="1" applyFont="1" applyFill="1" applyBorder="1" applyAlignment="1">
      <alignment horizontal="center"/>
    </xf>
    <xf numFmtId="10" fontId="0" fillId="0" borderId="10" xfId="1" applyNumberFormat="1" applyFont="1" applyBorder="1" applyAlignment="1">
      <alignment horizontal="center"/>
    </xf>
    <xf numFmtId="10" fontId="0" fillId="0" borderId="11" xfId="1" applyNumberFormat="1" applyFon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0" fontId="0" fillId="0" borderId="0" xfId="1" applyNumberFormat="1" applyFont="1" applyBorder="1" applyAlignment="1">
      <alignment horizontal="center"/>
    </xf>
    <xf numFmtId="10" fontId="0" fillId="0" borderId="9" xfId="1" applyNumberFormat="1" applyFont="1" applyBorder="1" applyAlignment="1">
      <alignment horizontal="center"/>
    </xf>
    <xf numFmtId="0" fontId="3" fillId="0" borderId="4" xfId="0" applyFont="1" applyBorder="1" applyAlignment="1"/>
    <xf numFmtId="2" fontId="0" fillId="0" borderId="0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12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/>
    <xf numFmtId="9" fontId="3" fillId="0" borderId="0" xfId="1" applyFont="1" applyFill="1" applyBorder="1" applyAlignment="1">
      <alignment horizontal="center"/>
    </xf>
    <xf numFmtId="0" fontId="0" fillId="0" borderId="1" xfId="0" applyBorder="1" applyAlignment="1"/>
    <xf numFmtId="9" fontId="3" fillId="0" borderId="1" xfId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9" fontId="3" fillId="0" borderId="8" xfId="1" applyFont="1" applyBorder="1" applyAlignment="1">
      <alignment horizontal="center" vertical="center"/>
    </xf>
    <xf numFmtId="0" fontId="0" fillId="0" borderId="3" xfId="0" applyFill="1" applyBorder="1"/>
    <xf numFmtId="0" fontId="0" fillId="0" borderId="13" xfId="0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5" xfId="0" applyFill="1" applyBorder="1"/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2" xfId="0" quotePrefix="1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1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" xfId="0" applyFill="1" applyBorder="1"/>
    <xf numFmtId="0" fontId="0" fillId="0" borderId="14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2" fillId="6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0" xfId="0" applyFill="1" applyBorder="1"/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7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0" xfId="0" applyNumberFormat="1" applyBorder="1" applyAlignment="1">
      <alignment horizontal="center"/>
    </xf>
    <xf numFmtId="2" fontId="0" fillId="0" borderId="0" xfId="0" applyNumberFormat="1"/>
    <xf numFmtId="2" fontId="0" fillId="0" borderId="1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11" fillId="0" borderId="5" xfId="0" applyFont="1" applyBorder="1"/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/>
    <xf numFmtId="0" fontId="14" fillId="0" borderId="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12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9" fontId="3" fillId="0" borderId="19" xfId="1" applyFont="1" applyBorder="1"/>
    <xf numFmtId="9" fontId="3" fillId="0" borderId="21" xfId="1" applyFont="1" applyBorder="1"/>
    <xf numFmtId="9" fontId="3" fillId="0" borderId="24" xfId="1" applyFont="1" applyBorder="1"/>
    <xf numFmtId="0" fontId="3" fillId="0" borderId="30" xfId="0" applyFont="1" applyBorder="1" applyAlignment="1">
      <alignment horizontal="center" vertical="center" wrapText="1"/>
    </xf>
    <xf numFmtId="12" fontId="3" fillId="0" borderId="31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9" fontId="3" fillId="0" borderId="35" xfId="1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0" xfId="0" applyNumberFormat="1" applyBorder="1"/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Border="1"/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4" xfId="0" applyFont="1" applyBorder="1"/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3" fillId="0" borderId="5" xfId="0" applyNumberFormat="1" applyFont="1" applyBorder="1" applyAlignment="1">
      <alignment horizontal="center" vertical="center" wrapText="1"/>
    </xf>
    <xf numFmtId="9" fontId="3" fillId="0" borderId="6" xfId="1" applyFont="1" applyBorder="1" applyAlignment="1">
      <alignment horizontal="center"/>
    </xf>
    <xf numFmtId="0" fontId="0" fillId="0" borderId="0" xfId="0" applyNumberFormat="1" applyAlignment="1">
      <alignment horizontal="center"/>
    </xf>
    <xf numFmtId="164" fontId="11" fillId="0" borderId="0" xfId="1" applyNumberFormat="1" applyFon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9" fontId="0" fillId="0" borderId="0" xfId="1" applyFont="1"/>
    <xf numFmtId="0" fontId="0" fillId="0" borderId="12" xfId="0" applyBorder="1"/>
    <xf numFmtId="0" fontId="0" fillId="0" borderId="8" xfId="0" applyBorder="1"/>
    <xf numFmtId="0" fontId="0" fillId="0" borderId="0" xfId="0" applyFill="1" applyBorder="1"/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Border="1"/>
    <xf numFmtId="3" fontId="0" fillId="0" borderId="5" xfId="0" applyNumberFormat="1" applyBorder="1"/>
    <xf numFmtId="3" fontId="0" fillId="0" borderId="2" xfId="0" applyNumberFormat="1" applyBorder="1"/>
    <xf numFmtId="3" fontId="0" fillId="0" borderId="3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10" fontId="0" fillId="0" borderId="6" xfId="1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3" borderId="0" xfId="0" applyFill="1" applyAlignment="1">
      <alignment horizontal="center"/>
    </xf>
    <xf numFmtId="10" fontId="0" fillId="0" borderId="0" xfId="1" applyNumberFormat="1" applyFont="1" applyAlignment="1">
      <alignment horizontal="center"/>
    </xf>
    <xf numFmtId="0" fontId="0" fillId="0" borderId="0" xfId="0" applyAlignment="1">
      <alignment horizontal="left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0000FF"/>
      <color rgb="FFFFFF99"/>
      <color rgb="FF66FF33"/>
      <color rgb="FFFFCCCC"/>
      <color rgb="FFFF99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U160"/>
  <sheetViews>
    <sheetView showGridLines="0" tabSelected="1" topLeftCell="A76" zoomScaleNormal="100" workbookViewId="0">
      <selection activeCell="AC50" sqref="AC50"/>
    </sheetView>
  </sheetViews>
  <sheetFormatPr baseColWidth="10" defaultRowHeight="15" outlineLevelCol="1"/>
  <cols>
    <col min="1" max="1" width="4.28515625" customWidth="1"/>
    <col min="2" max="2" width="3" style="353" bestFit="1" customWidth="1"/>
    <col min="3" max="3" width="3" style="353" customWidth="1"/>
    <col min="4" max="4" width="5" style="353" customWidth="1"/>
    <col min="5" max="6" width="4.7109375" customWidth="1"/>
    <col min="7" max="7" width="5" style="193" bestFit="1" customWidth="1"/>
    <col min="8" max="8" width="2.7109375" style="266" customWidth="1"/>
    <col min="9" max="9" width="34" customWidth="1"/>
    <col min="10" max="10" width="7.85546875" style="1" customWidth="1"/>
    <col min="11" max="11" width="4.28515625" style="195" bestFit="1" customWidth="1"/>
    <col min="12" max="12" width="4.85546875" style="234" bestFit="1" customWidth="1"/>
    <col min="13" max="13" width="3.7109375" customWidth="1"/>
    <col min="14" max="14" width="4.42578125" customWidth="1"/>
    <col min="15" max="15" width="4.7109375" customWidth="1"/>
    <col min="16" max="16" width="7.140625" style="1" customWidth="1"/>
    <col min="17" max="17" width="4.7109375" style="1" customWidth="1"/>
    <col min="18" max="18" width="6.85546875" customWidth="1"/>
    <col min="19" max="19" width="5.140625" bestFit="1" customWidth="1"/>
    <col min="20" max="21" width="1.7109375" style="3" customWidth="1"/>
    <col min="22" max="22" width="7.140625" style="3" bestFit="1" customWidth="1"/>
    <col min="23" max="23" width="1.7109375" style="3" customWidth="1"/>
    <col min="24" max="24" width="4.42578125" style="134" bestFit="1" customWidth="1"/>
    <col min="25" max="25" width="4.140625" style="134" bestFit="1" customWidth="1"/>
    <col min="26" max="26" width="4.140625" style="134" customWidth="1"/>
    <col min="27" max="27" width="4.7109375" style="4" customWidth="1"/>
    <col min="28" max="28" width="9.28515625" style="219" customWidth="1" outlineLevel="1"/>
    <col min="29" max="29" width="9.28515625" style="301" customWidth="1" outlineLevel="1"/>
    <col min="30" max="30" width="9.28515625" style="345" customWidth="1" outlineLevel="1"/>
    <col min="31" max="31" width="7.140625" style="134" customWidth="1" outlineLevel="1"/>
    <col min="32" max="32" width="4.85546875" style="134" customWidth="1" outlineLevel="1"/>
    <col min="33" max="34" width="7.140625" style="134" customWidth="1" outlineLevel="1"/>
    <col min="35" max="36" width="7.140625" style="415" customWidth="1" outlineLevel="1"/>
    <col min="37" max="37" width="7.140625" style="423" customWidth="1" outlineLevel="1"/>
    <col min="38" max="39" width="7.140625" style="415" customWidth="1" outlineLevel="1"/>
    <col min="40" max="40" width="7.28515625" customWidth="1"/>
    <col min="41" max="42" width="6.28515625" style="134" customWidth="1"/>
    <col min="43" max="43" width="3.140625" style="191" customWidth="1"/>
    <col min="44" max="44" width="4.42578125" style="134" customWidth="1"/>
    <col min="45" max="45" width="5" style="134" customWidth="1"/>
    <col min="46" max="46" width="6.28515625" style="134" customWidth="1"/>
    <col min="47" max="47" width="3.7109375" customWidth="1"/>
    <col min="48" max="48" width="4.42578125" style="134" customWidth="1"/>
    <col min="49" max="49" width="7" style="168" customWidth="1"/>
    <col min="50" max="50" width="5.140625" style="168" customWidth="1"/>
    <col min="51" max="51" width="8.28515625" style="173" customWidth="1"/>
    <col min="52" max="52" width="7.140625" bestFit="1" customWidth="1"/>
    <col min="53" max="53" width="7.140625" customWidth="1"/>
    <col min="54" max="54" width="19.140625" bestFit="1" customWidth="1"/>
    <col min="55" max="55" width="4" bestFit="1" customWidth="1"/>
    <col min="56" max="56" width="7.140625" customWidth="1"/>
    <col min="57" max="57" width="9.42578125" bestFit="1" customWidth="1"/>
    <col min="58" max="58" width="12.28515625" customWidth="1"/>
    <col min="59" max="59" width="8.5703125" customWidth="1"/>
    <col min="60" max="60" width="8" bestFit="1" customWidth="1"/>
    <col min="61" max="61" width="10.42578125" bestFit="1" customWidth="1"/>
    <col min="62" max="72" width="7.140625" customWidth="1"/>
    <col min="73" max="73" width="6" customWidth="1"/>
    <col min="74" max="74" width="17.7109375" bestFit="1" customWidth="1"/>
    <col min="75" max="75" width="10.85546875" bestFit="1" customWidth="1"/>
    <col min="76" max="76" width="2.85546875" bestFit="1" customWidth="1"/>
    <col min="77" max="77" width="3" bestFit="1" customWidth="1"/>
    <col min="78" max="78" width="1.85546875" bestFit="1" customWidth="1"/>
    <col min="79" max="79" width="3" bestFit="1" customWidth="1"/>
    <col min="84" max="84" width="4.5703125" bestFit="1" customWidth="1"/>
    <col min="85" max="85" width="6" bestFit="1" customWidth="1"/>
    <col min="86" max="86" width="2.5703125" bestFit="1" customWidth="1"/>
    <col min="87" max="87" width="2.85546875" bestFit="1" customWidth="1"/>
    <col min="88" max="88" width="7.140625" bestFit="1" customWidth="1"/>
    <col min="89" max="89" width="7.140625" customWidth="1"/>
  </cols>
  <sheetData>
    <row r="2" spans="2:72" ht="15" customHeight="1">
      <c r="D2" s="88"/>
      <c r="AB2" s="346" t="s">
        <v>367</v>
      </c>
      <c r="AC2" s="453" t="s">
        <v>414</v>
      </c>
      <c r="AD2" s="454"/>
      <c r="AE2" s="454"/>
      <c r="AF2" s="455"/>
      <c r="AG2" s="305"/>
      <c r="AH2" s="306"/>
      <c r="AI2" s="191"/>
      <c r="AJ2" s="469" t="s">
        <v>491</v>
      </c>
      <c r="AK2" s="470"/>
      <c r="AL2" s="470"/>
      <c r="AM2" s="471"/>
      <c r="AR2" s="468" t="s">
        <v>489</v>
      </c>
      <c r="AS2" s="468"/>
      <c r="AT2" s="468"/>
      <c r="AV2" s="138"/>
      <c r="AW2" s="223" t="s">
        <v>312</v>
      </c>
      <c r="AX2" s="177"/>
      <c r="AY2" s="4"/>
      <c r="AZ2" s="72" t="s">
        <v>291</v>
      </c>
      <c r="BA2" s="72" t="s">
        <v>293</v>
      </c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</row>
    <row r="3" spans="2:72" ht="15" customHeight="1">
      <c r="D3" s="88"/>
      <c r="G3" s="194" t="s">
        <v>148</v>
      </c>
      <c r="H3" s="53"/>
      <c r="I3" s="35" t="s">
        <v>107</v>
      </c>
      <c r="J3" s="264"/>
      <c r="K3" s="262"/>
      <c r="L3" s="262" t="s">
        <v>375</v>
      </c>
      <c r="M3" s="262" t="s">
        <v>374</v>
      </c>
      <c r="N3" s="264"/>
      <c r="O3" s="462" t="s">
        <v>380</v>
      </c>
      <c r="P3" s="462"/>
      <c r="Q3" s="463"/>
      <c r="R3" s="462" t="s">
        <v>87</v>
      </c>
      <c r="S3" s="463"/>
      <c r="T3" s="42"/>
      <c r="U3" s="42"/>
      <c r="V3" s="222" t="s">
        <v>382</v>
      </c>
      <c r="W3" s="42"/>
      <c r="X3" s="459" t="s">
        <v>291</v>
      </c>
      <c r="Y3" s="460"/>
      <c r="Z3" s="233"/>
      <c r="AA3" s="53"/>
      <c r="AB3" s="156" t="s">
        <v>388</v>
      </c>
      <c r="AC3" s="456"/>
      <c r="AD3" s="457"/>
      <c r="AE3" s="457"/>
      <c r="AF3" s="458"/>
      <c r="AG3" s="344"/>
      <c r="AH3" s="56"/>
      <c r="AI3" s="42"/>
      <c r="AJ3" s="469" t="s">
        <v>492</v>
      </c>
      <c r="AK3" s="470"/>
      <c r="AL3" s="470"/>
      <c r="AM3" s="471"/>
      <c r="AO3" s="174" t="s">
        <v>351</v>
      </c>
      <c r="AP3" s="138" t="s">
        <v>351</v>
      </c>
      <c r="AQ3" s="147"/>
      <c r="AR3" s="138" t="s">
        <v>322</v>
      </c>
      <c r="AS3" s="169" t="s">
        <v>321</v>
      </c>
      <c r="AT3" s="138"/>
      <c r="AV3" s="141"/>
      <c r="AW3" s="224" t="s">
        <v>314</v>
      </c>
      <c r="AX3" s="93"/>
      <c r="AY3" s="4"/>
      <c r="AZ3" s="72"/>
      <c r="BA3" s="72" t="s">
        <v>294</v>
      </c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</row>
    <row r="4" spans="2:72" ht="15" customHeight="1">
      <c r="D4" s="88"/>
      <c r="G4" s="28" t="s">
        <v>138</v>
      </c>
      <c r="H4" s="32"/>
      <c r="I4" s="25" t="s">
        <v>0</v>
      </c>
      <c r="J4" s="25" t="s">
        <v>148</v>
      </c>
      <c r="K4" s="26"/>
      <c r="L4" s="26">
        <v>1</v>
      </c>
      <c r="M4" s="27" t="s">
        <v>470</v>
      </c>
      <c r="N4" s="34" t="s">
        <v>381</v>
      </c>
      <c r="O4" s="34" t="s">
        <v>17</v>
      </c>
      <c r="P4" s="210" t="s">
        <v>361</v>
      </c>
      <c r="Q4" s="210" t="s">
        <v>97</v>
      </c>
      <c r="R4" s="153" t="s">
        <v>27</v>
      </c>
      <c r="S4" s="154" t="s">
        <v>104</v>
      </c>
      <c r="T4" s="237"/>
      <c r="U4" s="237"/>
      <c r="V4" s="28" t="s">
        <v>138</v>
      </c>
      <c r="W4" s="237"/>
      <c r="X4" s="155" t="s">
        <v>295</v>
      </c>
      <c r="Y4" s="155" t="s">
        <v>296</v>
      </c>
      <c r="Z4" s="233"/>
      <c r="AA4" s="32"/>
      <c r="AB4" s="28" t="s">
        <v>17</v>
      </c>
      <c r="AC4" s="28" t="s">
        <v>413</v>
      </c>
      <c r="AD4" s="28" t="s">
        <v>463</v>
      </c>
      <c r="AE4" s="28" t="s">
        <v>138</v>
      </c>
      <c r="AF4" s="28"/>
      <c r="AG4" s="28" t="s">
        <v>464</v>
      </c>
      <c r="AH4" s="28" t="s">
        <v>465</v>
      </c>
      <c r="AI4" s="32"/>
      <c r="AJ4" s="136"/>
      <c r="AK4" s="38"/>
      <c r="AL4" s="38"/>
      <c r="AM4" s="151"/>
      <c r="AO4" s="203">
        <v>477</v>
      </c>
      <c r="AP4" s="204"/>
      <c r="AQ4" s="148"/>
      <c r="AR4" s="204" t="s">
        <v>320</v>
      </c>
      <c r="AS4" s="205" t="s">
        <v>320</v>
      </c>
      <c r="AT4" s="204" t="s">
        <v>319</v>
      </c>
      <c r="AV4" s="140"/>
      <c r="AW4" s="92" t="s">
        <v>313</v>
      </c>
      <c r="AX4" s="93"/>
      <c r="AY4" s="4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</row>
    <row r="5" spans="2:72" ht="15" customHeight="1">
      <c r="B5" s="353">
        <f>IF(J5=1,1,0)</f>
        <v>1</v>
      </c>
      <c r="C5" s="353">
        <f>IF(J5="x",1,B5)</f>
        <v>1</v>
      </c>
      <c r="D5" s="88">
        <v>1</v>
      </c>
      <c r="G5" s="73">
        <v>1</v>
      </c>
      <c r="H5" s="32"/>
      <c r="I5" s="76" t="s">
        <v>44</v>
      </c>
      <c r="J5" s="74">
        <v>1</v>
      </c>
      <c r="K5" s="74"/>
      <c r="L5" s="74"/>
      <c r="M5" s="74"/>
      <c r="N5" s="74"/>
      <c r="O5" s="73">
        <v>8</v>
      </c>
      <c r="P5" s="73">
        <v>34</v>
      </c>
      <c r="Q5" s="73"/>
      <c r="R5" s="73">
        <v>8</v>
      </c>
      <c r="S5" s="77">
        <f t="shared" ref="S5:S15" si="0">IF(R5=0,"",P5/R5)</f>
        <v>4.25</v>
      </c>
      <c r="T5" s="48"/>
      <c r="U5" s="48"/>
      <c r="V5" s="73"/>
      <c r="W5" s="48"/>
      <c r="X5" s="142"/>
      <c r="Y5" s="142"/>
      <c r="Z5" s="142"/>
      <c r="AA5" s="32"/>
      <c r="AB5" s="73">
        <v>8</v>
      </c>
      <c r="AC5" s="73"/>
      <c r="AD5" s="73"/>
      <c r="AE5" s="73">
        <f>V5</f>
        <v>0</v>
      </c>
      <c r="AF5" s="73">
        <f t="shared" ref="AF5:AF26" si="1">AC5+AE5</f>
        <v>0</v>
      </c>
      <c r="AG5" s="73"/>
      <c r="AH5" s="73"/>
      <c r="AI5" s="32"/>
      <c r="AJ5" s="421">
        <f>S5</f>
        <v>4.25</v>
      </c>
      <c r="AK5" s="421">
        <f t="shared" ref="AK5:AK36" si="2">IF(AL5=1,AJ5,"")</f>
        <v>4.25</v>
      </c>
      <c r="AL5" s="73">
        <f>IF(AJ5&gt;1,1,0)</f>
        <v>1</v>
      </c>
      <c r="AM5" s="73">
        <f>IF(AJ5=0,0,1)</f>
        <v>1</v>
      </c>
      <c r="AO5" s="176"/>
      <c r="AP5" s="142"/>
      <c r="AQ5" s="144"/>
      <c r="AR5" s="142">
        <f t="shared" ref="AR5:AR26" si="3">P5</f>
        <v>34</v>
      </c>
      <c r="AS5" s="170">
        <f t="shared" ref="AS5:AS26" si="4">X5</f>
        <v>0</v>
      </c>
      <c r="AT5" s="142">
        <f t="shared" ref="AT5:AT26" si="5">R5</f>
        <v>8</v>
      </c>
      <c r="AV5" s="142"/>
      <c r="AW5" s="92">
        <f t="shared" ref="AW5:AW26" si="6">P5</f>
        <v>34</v>
      </c>
      <c r="AX5" s="93">
        <f t="shared" ref="AX5:AX26" si="7">R5</f>
        <v>8</v>
      </c>
      <c r="AY5" s="4"/>
      <c r="AZ5" s="72"/>
      <c r="BA5" s="72"/>
      <c r="BB5" s="184"/>
      <c r="BC5" s="184" t="s">
        <v>352</v>
      </c>
      <c r="BD5" s="179" t="s">
        <v>27</v>
      </c>
      <c r="BE5" s="177" t="s">
        <v>346</v>
      </c>
      <c r="BF5" s="183" t="s">
        <v>347</v>
      </c>
      <c r="BG5" s="183" t="s">
        <v>348</v>
      </c>
      <c r="BH5" s="183" t="s">
        <v>349</v>
      </c>
      <c r="BI5" s="183" t="s">
        <v>350</v>
      </c>
      <c r="BJ5" s="180" t="s">
        <v>27</v>
      </c>
      <c r="BK5" s="72"/>
      <c r="BL5" s="72"/>
      <c r="BM5" s="72"/>
      <c r="BN5" s="72"/>
      <c r="BO5" s="72"/>
      <c r="BP5" s="72"/>
      <c r="BQ5" s="72"/>
      <c r="BR5" s="72"/>
      <c r="BS5" s="72"/>
      <c r="BT5" s="72"/>
    </row>
    <row r="6" spans="2:72" ht="15" customHeight="1">
      <c r="B6" s="353">
        <f t="shared" ref="B6:B76" si="8">IF(J6=1,1,0)</f>
        <v>1</v>
      </c>
      <c r="C6" s="353">
        <f t="shared" ref="C6:C74" si="9">IF(J6="x",1,B6)</f>
        <v>1</v>
      </c>
      <c r="D6" s="88">
        <v>1</v>
      </c>
      <c r="G6" s="73">
        <v>1</v>
      </c>
      <c r="H6" s="32"/>
      <c r="I6" s="76" t="s">
        <v>8</v>
      </c>
      <c r="J6" s="74">
        <v>1</v>
      </c>
      <c r="K6" s="74"/>
      <c r="L6" s="74"/>
      <c r="M6" s="74"/>
      <c r="N6" s="74"/>
      <c r="O6" s="73"/>
      <c r="P6" s="73">
        <v>7</v>
      </c>
      <c r="Q6" s="73"/>
      <c r="R6" s="73">
        <v>11</v>
      </c>
      <c r="S6" s="77">
        <f t="shared" si="0"/>
        <v>0.63636363636363635</v>
      </c>
      <c r="T6" s="48"/>
      <c r="U6" s="48"/>
      <c r="V6" s="73">
        <v>3</v>
      </c>
      <c r="W6" s="48"/>
      <c r="X6" s="142"/>
      <c r="Y6" s="142"/>
      <c r="Z6" s="142"/>
      <c r="AA6" s="32"/>
      <c r="AB6" s="73"/>
      <c r="AC6" s="73"/>
      <c r="AD6" s="73"/>
      <c r="AE6" s="73">
        <f t="shared" ref="AE6:AE26" si="10">V6</f>
        <v>3</v>
      </c>
      <c r="AF6" s="73">
        <f t="shared" si="1"/>
        <v>3</v>
      </c>
      <c r="AG6" s="73"/>
      <c r="AH6" s="73"/>
      <c r="AI6" s="32"/>
      <c r="AJ6" s="421">
        <f t="shared" ref="AJ6:AJ69" si="11">S6</f>
        <v>0.63636363636363635</v>
      </c>
      <c r="AK6" s="421" t="str">
        <f t="shared" si="2"/>
        <v/>
      </c>
      <c r="AL6" s="73">
        <f t="shared" ref="AL6:AL69" si="12">IF(AJ6&gt;1,1,0)</f>
        <v>0</v>
      </c>
      <c r="AM6" s="73">
        <f t="shared" ref="AM6:AM69" si="13">IF(AJ6=0,0,1)</f>
        <v>1</v>
      </c>
      <c r="AO6" s="176"/>
      <c r="AP6" s="142"/>
      <c r="AQ6" s="144"/>
      <c r="AR6" s="142">
        <f t="shared" si="3"/>
        <v>7</v>
      </c>
      <c r="AS6" s="170">
        <f t="shared" si="4"/>
        <v>0</v>
      </c>
      <c r="AT6" s="142">
        <f t="shared" si="5"/>
        <v>11</v>
      </c>
      <c r="AV6" s="142"/>
      <c r="AW6" s="92">
        <f t="shared" si="6"/>
        <v>7</v>
      </c>
      <c r="AX6" s="93">
        <f t="shared" si="7"/>
        <v>11</v>
      </c>
      <c r="AY6" s="4"/>
      <c r="AZ6" s="72"/>
      <c r="BA6" s="72"/>
      <c r="BB6" s="185" t="s">
        <v>335</v>
      </c>
      <c r="BC6" s="185"/>
      <c r="BD6" s="93">
        <v>106</v>
      </c>
      <c r="BE6" s="93"/>
      <c r="BF6" s="181"/>
      <c r="BG6" s="181"/>
      <c r="BH6" s="181"/>
      <c r="BI6" s="181"/>
      <c r="BJ6" s="189"/>
      <c r="BK6" s="72"/>
      <c r="BL6" s="72"/>
      <c r="BM6" s="72"/>
      <c r="BN6" s="72"/>
      <c r="BO6" s="72"/>
      <c r="BP6" s="72"/>
      <c r="BQ6" s="72"/>
      <c r="BR6" s="72"/>
      <c r="BS6" s="72"/>
      <c r="BT6" s="72"/>
    </row>
    <row r="7" spans="2:72" ht="15" customHeight="1">
      <c r="B7" s="353">
        <f t="shared" si="8"/>
        <v>0</v>
      </c>
      <c r="C7" s="353">
        <f t="shared" si="9"/>
        <v>1</v>
      </c>
      <c r="D7" s="88">
        <v>1</v>
      </c>
      <c r="G7" s="73">
        <v>1</v>
      </c>
      <c r="H7" s="32"/>
      <c r="I7" s="76" t="s">
        <v>11</v>
      </c>
      <c r="J7" s="74" t="s">
        <v>21</v>
      </c>
      <c r="K7" s="74"/>
      <c r="L7" s="74"/>
      <c r="M7" s="74"/>
      <c r="N7" s="74"/>
      <c r="O7" s="73">
        <v>0.5</v>
      </c>
      <c r="P7" s="73">
        <v>6</v>
      </c>
      <c r="Q7" s="73"/>
      <c r="R7" s="73">
        <v>11</v>
      </c>
      <c r="S7" s="77">
        <f t="shared" si="0"/>
        <v>0.54545454545454541</v>
      </c>
      <c r="T7" s="48"/>
      <c r="U7" s="48"/>
      <c r="V7" s="73"/>
      <c r="W7" s="48"/>
      <c r="X7" s="142"/>
      <c r="Y7" s="142"/>
      <c r="Z7" s="142"/>
      <c r="AA7" s="32"/>
      <c r="AB7" s="73">
        <v>0.5</v>
      </c>
      <c r="AC7" s="73"/>
      <c r="AD7" s="73"/>
      <c r="AE7" s="73">
        <f t="shared" si="10"/>
        <v>0</v>
      </c>
      <c r="AF7" s="73">
        <f t="shared" si="1"/>
        <v>0</v>
      </c>
      <c r="AG7" s="73"/>
      <c r="AH7" s="73"/>
      <c r="AI7" s="32"/>
      <c r="AJ7" s="421">
        <f t="shared" si="11"/>
        <v>0.54545454545454541</v>
      </c>
      <c r="AK7" s="421" t="str">
        <f t="shared" si="2"/>
        <v/>
      </c>
      <c r="AL7" s="73">
        <f t="shared" si="12"/>
        <v>0</v>
      </c>
      <c r="AM7" s="73">
        <f t="shared" si="13"/>
        <v>1</v>
      </c>
      <c r="AO7" s="176"/>
      <c r="AP7" s="142"/>
      <c r="AQ7" s="144"/>
      <c r="AR7" s="142">
        <f t="shared" si="3"/>
        <v>6</v>
      </c>
      <c r="AS7" s="170">
        <f t="shared" si="4"/>
        <v>0</v>
      </c>
      <c r="AT7" s="142">
        <f t="shared" si="5"/>
        <v>11</v>
      </c>
      <c r="AV7" s="142"/>
      <c r="AW7" s="92">
        <f t="shared" si="6"/>
        <v>6</v>
      </c>
      <c r="AX7" s="93">
        <f t="shared" si="7"/>
        <v>11</v>
      </c>
      <c r="AY7" s="4"/>
      <c r="AZ7" s="72"/>
      <c r="BA7" s="72"/>
      <c r="BB7" s="186" t="s">
        <v>336</v>
      </c>
      <c r="BC7" s="186"/>
      <c r="BD7" s="93"/>
      <c r="BE7" s="93"/>
      <c r="BF7" s="181"/>
      <c r="BG7" s="181"/>
      <c r="BH7" s="181"/>
      <c r="BI7" s="181"/>
      <c r="BJ7" s="189"/>
      <c r="BK7" s="72"/>
      <c r="BL7" s="72"/>
      <c r="BM7" s="72"/>
      <c r="BN7" s="72"/>
      <c r="BO7" s="72"/>
      <c r="BP7" s="72"/>
      <c r="BQ7" s="72"/>
      <c r="BR7" s="72"/>
      <c r="BS7" s="72"/>
      <c r="BT7" s="72"/>
    </row>
    <row r="8" spans="2:72" ht="15" customHeight="1">
      <c r="B8" s="353">
        <f t="shared" si="8"/>
        <v>1</v>
      </c>
      <c r="C8" s="353">
        <f t="shared" si="9"/>
        <v>1</v>
      </c>
      <c r="D8" s="88">
        <v>1</v>
      </c>
      <c r="G8" s="73">
        <v>1</v>
      </c>
      <c r="H8" s="32"/>
      <c r="I8" s="76" t="s">
        <v>12</v>
      </c>
      <c r="J8" s="74">
        <v>1</v>
      </c>
      <c r="K8" s="74"/>
      <c r="L8" s="74"/>
      <c r="M8" s="74"/>
      <c r="N8" s="74"/>
      <c r="O8" s="73"/>
      <c r="P8" s="73">
        <v>2</v>
      </c>
      <c r="Q8" s="73"/>
      <c r="R8" s="73">
        <v>2</v>
      </c>
      <c r="S8" s="77">
        <f t="shared" si="0"/>
        <v>1</v>
      </c>
      <c r="T8" s="48"/>
      <c r="U8" s="48"/>
      <c r="V8" s="73">
        <v>1</v>
      </c>
      <c r="W8" s="48"/>
      <c r="X8" s="142"/>
      <c r="Y8" s="142"/>
      <c r="Z8" s="142"/>
      <c r="AA8" s="32"/>
      <c r="AB8" s="73"/>
      <c r="AC8" s="73"/>
      <c r="AD8" s="73"/>
      <c r="AE8" s="73">
        <f t="shared" si="10"/>
        <v>1</v>
      </c>
      <c r="AF8" s="73">
        <f t="shared" si="1"/>
        <v>1</v>
      </c>
      <c r="AG8" s="73"/>
      <c r="AH8" s="73"/>
      <c r="AI8" s="32"/>
      <c r="AJ8" s="421">
        <f t="shared" si="11"/>
        <v>1</v>
      </c>
      <c r="AK8" s="421" t="str">
        <f t="shared" si="2"/>
        <v/>
      </c>
      <c r="AL8" s="73">
        <f t="shared" si="12"/>
        <v>0</v>
      </c>
      <c r="AM8" s="73">
        <f t="shared" si="13"/>
        <v>1</v>
      </c>
      <c r="AO8" s="176"/>
      <c r="AP8" s="142"/>
      <c r="AQ8" s="144"/>
      <c r="AR8" s="142">
        <f t="shared" si="3"/>
        <v>2</v>
      </c>
      <c r="AS8" s="170">
        <f t="shared" si="4"/>
        <v>0</v>
      </c>
      <c r="AT8" s="142">
        <f t="shared" si="5"/>
        <v>2</v>
      </c>
      <c r="AV8" s="142"/>
      <c r="AW8" s="92">
        <f t="shared" si="6"/>
        <v>2</v>
      </c>
      <c r="AX8" s="93">
        <f t="shared" si="7"/>
        <v>2</v>
      </c>
      <c r="AY8" s="4"/>
      <c r="AZ8" s="72"/>
      <c r="BA8" s="72"/>
      <c r="BB8" s="187" t="s">
        <v>337</v>
      </c>
      <c r="BC8" s="187"/>
      <c r="BD8" s="93"/>
      <c r="BE8" s="93"/>
      <c r="BF8" s="181"/>
      <c r="BG8" s="181"/>
      <c r="BH8" s="181"/>
      <c r="BI8" s="181"/>
      <c r="BJ8" s="189"/>
      <c r="BK8" s="72"/>
      <c r="BL8" s="72"/>
      <c r="BM8" s="72"/>
      <c r="BN8" s="72"/>
      <c r="BO8" s="72"/>
      <c r="BP8" s="72"/>
      <c r="BQ8" s="72"/>
      <c r="BR8" s="72"/>
      <c r="BS8" s="72"/>
      <c r="BT8" s="72"/>
    </row>
    <row r="9" spans="2:72" ht="15" customHeight="1">
      <c r="B9" s="353">
        <f t="shared" si="8"/>
        <v>1</v>
      </c>
      <c r="C9" s="353">
        <f t="shared" si="9"/>
        <v>1</v>
      </c>
      <c r="D9" s="88">
        <v>1</v>
      </c>
      <c r="G9" s="73"/>
      <c r="H9" s="32"/>
      <c r="I9" s="76" t="s">
        <v>13</v>
      </c>
      <c r="J9" s="74">
        <v>1</v>
      </c>
      <c r="K9" s="74"/>
      <c r="L9" s="74"/>
      <c r="M9" s="74"/>
      <c r="N9" s="74"/>
      <c r="O9" s="73"/>
      <c r="P9" s="73">
        <v>10</v>
      </c>
      <c r="Q9" s="73"/>
      <c r="R9" s="73"/>
      <c r="S9" s="77" t="str">
        <f t="shared" si="0"/>
        <v/>
      </c>
      <c r="T9" s="48"/>
      <c r="U9" s="48"/>
      <c r="V9" s="73"/>
      <c r="W9" s="48"/>
      <c r="X9" s="142"/>
      <c r="Y9" s="142"/>
      <c r="Z9" s="142"/>
      <c r="AA9" s="32"/>
      <c r="AB9" s="73"/>
      <c r="AC9" s="73"/>
      <c r="AD9" s="73"/>
      <c r="AE9" s="73">
        <f t="shared" si="10"/>
        <v>0</v>
      </c>
      <c r="AF9" s="73">
        <f t="shared" si="1"/>
        <v>0</v>
      </c>
      <c r="AG9" s="73"/>
      <c r="AH9" s="73"/>
      <c r="AI9" s="32"/>
      <c r="AJ9" s="421" t="str">
        <f t="shared" si="11"/>
        <v/>
      </c>
      <c r="AK9" s="421" t="str">
        <f t="shared" si="2"/>
        <v/>
      </c>
      <c r="AL9" s="73">
        <f t="shared" si="12"/>
        <v>1</v>
      </c>
      <c r="AM9" s="73">
        <f t="shared" si="13"/>
        <v>1</v>
      </c>
      <c r="AO9" s="176"/>
      <c r="AP9" s="142"/>
      <c r="AQ9" s="144"/>
      <c r="AR9" s="142">
        <f t="shared" si="3"/>
        <v>10</v>
      </c>
      <c r="AS9" s="170">
        <f t="shared" si="4"/>
        <v>0</v>
      </c>
      <c r="AT9" s="142">
        <f t="shared" si="5"/>
        <v>0</v>
      </c>
      <c r="AV9" s="142"/>
      <c r="AW9" s="92">
        <f t="shared" si="6"/>
        <v>10</v>
      </c>
      <c r="AX9" s="93">
        <f t="shared" si="7"/>
        <v>0</v>
      </c>
      <c r="AY9" s="4"/>
      <c r="AZ9" s="72"/>
      <c r="BA9" s="72"/>
      <c r="BB9" s="187" t="s">
        <v>338</v>
      </c>
      <c r="BC9" s="187"/>
      <c r="BD9" s="93"/>
      <c r="BE9" s="93"/>
      <c r="BF9" s="181"/>
      <c r="BG9" s="181"/>
      <c r="BH9" s="181"/>
      <c r="BI9" s="181"/>
      <c r="BJ9" s="189"/>
      <c r="BK9" s="72"/>
      <c r="BL9" s="72"/>
      <c r="BM9" s="72"/>
      <c r="BN9" s="72"/>
      <c r="BO9" s="72"/>
      <c r="BP9" s="72"/>
      <c r="BQ9" s="72"/>
      <c r="BR9" s="72"/>
      <c r="BS9" s="72"/>
      <c r="BT9" s="72"/>
    </row>
    <row r="10" spans="2:72" ht="15" customHeight="1">
      <c r="B10" s="353">
        <f t="shared" si="8"/>
        <v>0</v>
      </c>
      <c r="C10" s="353">
        <f t="shared" si="9"/>
        <v>1</v>
      </c>
      <c r="D10" s="88">
        <v>1</v>
      </c>
      <c r="G10" s="86">
        <v>1</v>
      </c>
      <c r="H10" s="272"/>
      <c r="I10" s="76" t="s">
        <v>45</v>
      </c>
      <c r="J10" s="78" t="s">
        <v>21</v>
      </c>
      <c r="K10" s="78"/>
      <c r="L10" s="74"/>
      <c r="M10" s="74"/>
      <c r="N10" s="74"/>
      <c r="O10" s="73"/>
      <c r="P10" s="73"/>
      <c r="Q10" s="73"/>
      <c r="R10" s="73"/>
      <c r="S10" s="77" t="str">
        <f t="shared" si="0"/>
        <v/>
      </c>
      <c r="T10" s="48"/>
      <c r="U10" s="48"/>
      <c r="V10" s="73"/>
      <c r="W10" s="48"/>
      <c r="X10" s="142"/>
      <c r="Y10" s="142"/>
      <c r="Z10" s="142"/>
      <c r="AA10" s="32"/>
      <c r="AB10" s="73"/>
      <c r="AC10" s="73"/>
      <c r="AD10" s="73"/>
      <c r="AE10" s="73">
        <f t="shared" si="10"/>
        <v>0</v>
      </c>
      <c r="AF10" s="73">
        <f t="shared" si="1"/>
        <v>0</v>
      </c>
      <c r="AG10" s="73"/>
      <c r="AH10" s="73"/>
      <c r="AI10" s="32"/>
      <c r="AJ10" s="421" t="str">
        <f t="shared" si="11"/>
        <v/>
      </c>
      <c r="AK10" s="421" t="str">
        <f t="shared" si="2"/>
        <v/>
      </c>
      <c r="AL10" s="73">
        <f t="shared" si="12"/>
        <v>1</v>
      </c>
      <c r="AM10" s="73">
        <f t="shared" si="13"/>
        <v>1</v>
      </c>
      <c r="AO10" s="176"/>
      <c r="AP10" s="142"/>
      <c r="AQ10" s="144"/>
      <c r="AR10" s="142">
        <f t="shared" si="3"/>
        <v>0</v>
      </c>
      <c r="AS10" s="170">
        <f t="shared" si="4"/>
        <v>0</v>
      </c>
      <c r="AT10" s="142">
        <f t="shared" si="5"/>
        <v>0</v>
      </c>
      <c r="AV10" s="142"/>
      <c r="AW10" s="92">
        <f t="shared" si="6"/>
        <v>0</v>
      </c>
      <c r="AX10" s="93">
        <f t="shared" si="7"/>
        <v>0</v>
      </c>
      <c r="AY10" s="4"/>
      <c r="AZ10" s="72"/>
      <c r="BA10" s="72"/>
      <c r="BB10" s="187" t="s">
        <v>339</v>
      </c>
      <c r="BC10" s="187"/>
      <c r="BD10" s="93"/>
      <c r="BE10" s="93"/>
      <c r="BF10" s="181"/>
      <c r="BG10" s="181"/>
      <c r="BH10" s="181"/>
      <c r="BI10" s="181"/>
      <c r="BJ10" s="189"/>
      <c r="BK10" s="72"/>
      <c r="BL10" s="72"/>
      <c r="BM10" s="72"/>
      <c r="BN10" s="72"/>
      <c r="BO10" s="72"/>
      <c r="BP10" s="72"/>
      <c r="BQ10" s="72"/>
      <c r="BR10" s="72"/>
      <c r="BS10" s="72"/>
      <c r="BT10" s="72"/>
    </row>
    <row r="11" spans="2:72" ht="15" customHeight="1">
      <c r="B11" s="353">
        <f t="shared" si="8"/>
        <v>1</v>
      </c>
      <c r="C11" s="353">
        <f t="shared" si="9"/>
        <v>1</v>
      </c>
      <c r="D11" s="88">
        <v>1</v>
      </c>
      <c r="G11" s="73">
        <v>1</v>
      </c>
      <c r="H11" s="32"/>
      <c r="I11" s="79" t="s">
        <v>1</v>
      </c>
      <c r="J11" s="74">
        <v>1</v>
      </c>
      <c r="K11" s="74"/>
      <c r="L11" s="74"/>
      <c r="M11" s="74"/>
      <c r="N11" s="74">
        <v>1</v>
      </c>
      <c r="O11" s="73">
        <v>7</v>
      </c>
      <c r="P11" s="73">
        <v>44</v>
      </c>
      <c r="Q11" s="73"/>
      <c r="R11" s="73">
        <v>14</v>
      </c>
      <c r="S11" s="77">
        <f t="shared" si="0"/>
        <v>3.1428571428571428</v>
      </c>
      <c r="T11" s="48"/>
      <c r="U11" s="48"/>
      <c r="V11" s="73">
        <v>10</v>
      </c>
      <c r="W11" s="48"/>
      <c r="X11" s="142"/>
      <c r="Y11" s="142"/>
      <c r="Z11" s="142"/>
      <c r="AA11" s="32"/>
      <c r="AB11" s="73">
        <v>7</v>
      </c>
      <c r="AC11" s="73"/>
      <c r="AD11" s="73"/>
      <c r="AE11" s="73">
        <f t="shared" si="10"/>
        <v>10</v>
      </c>
      <c r="AF11" s="73">
        <f t="shared" si="1"/>
        <v>10</v>
      </c>
      <c r="AG11" s="73"/>
      <c r="AH11" s="73"/>
      <c r="AI11" s="32"/>
      <c r="AJ11" s="421">
        <f t="shared" si="11"/>
        <v>3.1428571428571428</v>
      </c>
      <c r="AK11" s="421">
        <f t="shared" si="2"/>
        <v>3.1428571428571428</v>
      </c>
      <c r="AL11" s="73">
        <f t="shared" si="12"/>
        <v>1</v>
      </c>
      <c r="AM11" s="73">
        <f t="shared" si="13"/>
        <v>1</v>
      </c>
      <c r="AO11" s="176">
        <v>0</v>
      </c>
      <c r="AP11" s="142"/>
      <c r="AQ11" s="144"/>
      <c r="AR11" s="142">
        <f t="shared" si="3"/>
        <v>44</v>
      </c>
      <c r="AS11" s="170">
        <f t="shared" si="4"/>
        <v>0</v>
      </c>
      <c r="AT11" s="142">
        <f t="shared" si="5"/>
        <v>14</v>
      </c>
      <c r="AV11" s="142"/>
      <c r="AW11" s="92">
        <f t="shared" si="6"/>
        <v>44</v>
      </c>
      <c r="AX11" s="93">
        <f t="shared" si="7"/>
        <v>14</v>
      </c>
      <c r="AY11" s="4"/>
      <c r="AZ11" s="72"/>
      <c r="BA11" s="72"/>
      <c r="BB11" s="187" t="s">
        <v>340</v>
      </c>
      <c r="BC11" s="187">
        <v>453</v>
      </c>
      <c r="BD11" s="93"/>
      <c r="BE11" s="93"/>
      <c r="BF11" s="181"/>
      <c r="BG11" s="181"/>
      <c r="BH11" s="181"/>
      <c r="BI11" s="181"/>
      <c r="BJ11" s="189"/>
      <c r="BK11" s="72"/>
      <c r="BL11" s="72"/>
      <c r="BM11" s="72"/>
      <c r="BN11" s="72"/>
      <c r="BO11" s="72"/>
      <c r="BP11" s="72"/>
      <c r="BQ11" s="72"/>
      <c r="BR11" s="72"/>
      <c r="BS11" s="72"/>
      <c r="BT11" s="72"/>
    </row>
    <row r="12" spans="2:72" ht="15" customHeight="1">
      <c r="B12" s="353">
        <f t="shared" si="8"/>
        <v>1</v>
      </c>
      <c r="C12" s="353">
        <f t="shared" si="9"/>
        <v>1</v>
      </c>
      <c r="D12" s="88">
        <v>1</v>
      </c>
      <c r="G12" s="73">
        <v>1</v>
      </c>
      <c r="H12" s="32"/>
      <c r="I12" s="79" t="s">
        <v>479</v>
      </c>
      <c r="J12" s="74">
        <v>1</v>
      </c>
      <c r="K12" s="74"/>
      <c r="L12" s="74">
        <v>1</v>
      </c>
      <c r="M12" s="74"/>
      <c r="N12" s="74">
        <v>1</v>
      </c>
      <c r="O12" s="73">
        <v>3</v>
      </c>
      <c r="P12" s="73">
        <v>18</v>
      </c>
      <c r="Q12" s="73"/>
      <c r="R12" s="73">
        <f>P12-X12</f>
        <v>15</v>
      </c>
      <c r="S12" s="77">
        <f t="shared" si="0"/>
        <v>1.2</v>
      </c>
      <c r="T12" s="48"/>
      <c r="U12" s="48"/>
      <c r="V12" s="73"/>
      <c r="W12" s="48"/>
      <c r="X12" s="142">
        <v>3</v>
      </c>
      <c r="Y12" s="142"/>
      <c r="Z12" s="142"/>
      <c r="AA12" s="32"/>
      <c r="AB12" s="73">
        <v>3</v>
      </c>
      <c r="AC12" s="73"/>
      <c r="AD12" s="73"/>
      <c r="AE12" s="73">
        <f t="shared" si="10"/>
        <v>0</v>
      </c>
      <c r="AF12" s="73">
        <f t="shared" si="1"/>
        <v>0</v>
      </c>
      <c r="AG12" s="73"/>
      <c r="AH12" s="73"/>
      <c r="AI12" s="32"/>
      <c r="AJ12" s="421">
        <f t="shared" si="11"/>
        <v>1.2</v>
      </c>
      <c r="AK12" s="421">
        <f t="shared" si="2"/>
        <v>1.2</v>
      </c>
      <c r="AL12" s="73">
        <f t="shared" si="12"/>
        <v>1</v>
      </c>
      <c r="AM12" s="73">
        <f t="shared" si="13"/>
        <v>1</v>
      </c>
      <c r="AO12" s="176">
        <v>10</v>
      </c>
      <c r="AP12" s="142">
        <v>2</v>
      </c>
      <c r="AQ12" s="144"/>
      <c r="AR12" s="142">
        <f t="shared" si="3"/>
        <v>18</v>
      </c>
      <c r="AS12" s="170">
        <f t="shared" si="4"/>
        <v>3</v>
      </c>
      <c r="AT12" s="142">
        <f t="shared" si="5"/>
        <v>15</v>
      </c>
      <c r="AV12" s="142"/>
      <c r="AW12" s="92">
        <f t="shared" si="6"/>
        <v>18</v>
      </c>
      <c r="AX12" s="93">
        <f t="shared" si="7"/>
        <v>15</v>
      </c>
      <c r="AY12" s="4"/>
      <c r="AZ12" s="72"/>
      <c r="BA12" s="72"/>
      <c r="BB12" s="187" t="s">
        <v>341</v>
      </c>
      <c r="BC12" s="187">
        <v>544</v>
      </c>
      <c r="BD12" s="93">
        <f>BC12-BC11</f>
        <v>91</v>
      </c>
      <c r="BE12" s="93">
        <v>9</v>
      </c>
      <c r="BF12" s="181">
        <v>53</v>
      </c>
      <c r="BG12" s="181"/>
      <c r="BH12" s="181">
        <v>10</v>
      </c>
      <c r="BI12" s="181">
        <v>10</v>
      </c>
      <c r="BJ12" s="189">
        <f>SUM(BE12:BI12)</f>
        <v>82</v>
      </c>
      <c r="BK12" s="72"/>
      <c r="BL12" s="72"/>
      <c r="BM12" s="72"/>
      <c r="BN12" s="72"/>
      <c r="BO12" s="72"/>
      <c r="BP12" s="72"/>
      <c r="BQ12" s="72"/>
      <c r="BR12" s="72"/>
      <c r="BS12" s="72"/>
      <c r="BT12" s="72"/>
    </row>
    <row r="13" spans="2:72" ht="15" customHeight="1">
      <c r="B13" s="353">
        <f t="shared" si="8"/>
        <v>1</v>
      </c>
      <c r="C13" s="353">
        <f t="shared" si="9"/>
        <v>1</v>
      </c>
      <c r="D13" s="88">
        <v>1</v>
      </c>
      <c r="G13" s="73">
        <v>1</v>
      </c>
      <c r="H13" s="32"/>
      <c r="I13" s="79" t="s">
        <v>2</v>
      </c>
      <c r="J13" s="74">
        <v>1</v>
      </c>
      <c r="K13" s="74"/>
      <c r="L13" s="74"/>
      <c r="M13" s="74">
        <v>1</v>
      </c>
      <c r="N13" s="74">
        <v>1</v>
      </c>
      <c r="O13" s="73">
        <v>3</v>
      </c>
      <c r="P13" s="73">
        <v>30</v>
      </c>
      <c r="Q13" s="73"/>
      <c r="R13" s="73">
        <v>7</v>
      </c>
      <c r="S13" s="77">
        <f t="shared" si="0"/>
        <v>4.2857142857142856</v>
      </c>
      <c r="T13" s="48"/>
      <c r="U13" s="48"/>
      <c r="V13" s="73"/>
      <c r="W13" s="48"/>
      <c r="X13" s="142"/>
      <c r="Y13" s="142"/>
      <c r="Z13" s="142"/>
      <c r="AA13" s="32"/>
      <c r="AB13" s="73">
        <v>5</v>
      </c>
      <c r="AC13" s="73"/>
      <c r="AD13" s="73"/>
      <c r="AE13" s="73">
        <f t="shared" si="10"/>
        <v>0</v>
      </c>
      <c r="AF13" s="73">
        <f t="shared" si="1"/>
        <v>0</v>
      </c>
      <c r="AG13" s="73"/>
      <c r="AH13" s="73"/>
      <c r="AI13" s="32"/>
      <c r="AJ13" s="421">
        <f t="shared" si="11"/>
        <v>4.2857142857142856</v>
      </c>
      <c r="AK13" s="421">
        <f t="shared" si="2"/>
        <v>4.2857142857142856</v>
      </c>
      <c r="AL13" s="73">
        <f t="shared" si="12"/>
        <v>1</v>
      </c>
      <c r="AM13" s="73">
        <f t="shared" si="13"/>
        <v>1</v>
      </c>
      <c r="AO13" s="176">
        <v>3</v>
      </c>
      <c r="AP13" s="142"/>
      <c r="AQ13" s="144"/>
      <c r="AR13" s="142">
        <f t="shared" si="3"/>
        <v>30</v>
      </c>
      <c r="AS13" s="170">
        <f t="shared" si="4"/>
        <v>0</v>
      </c>
      <c r="AT13" s="142">
        <f t="shared" si="5"/>
        <v>7</v>
      </c>
      <c r="AV13" s="142"/>
      <c r="AW13" s="92">
        <f t="shared" si="6"/>
        <v>30</v>
      </c>
      <c r="AX13" s="93">
        <f t="shared" si="7"/>
        <v>7</v>
      </c>
      <c r="AY13" s="4"/>
      <c r="AZ13" s="72"/>
      <c r="BA13" s="72"/>
      <c r="BB13" s="187" t="s">
        <v>342</v>
      </c>
      <c r="BC13" s="187"/>
      <c r="BD13" s="93"/>
      <c r="BE13" s="93"/>
      <c r="BF13" s="181"/>
      <c r="BG13" s="181"/>
      <c r="BH13" s="181"/>
      <c r="BI13" s="181"/>
      <c r="BJ13" s="189"/>
      <c r="BK13" s="72"/>
      <c r="BL13" s="72"/>
      <c r="BM13" s="72"/>
      <c r="BN13" s="72"/>
      <c r="BO13" s="72"/>
      <c r="BP13" s="72"/>
      <c r="BQ13" s="72"/>
      <c r="BR13" s="72"/>
      <c r="BS13" s="72"/>
      <c r="BT13" s="72"/>
    </row>
    <row r="14" spans="2:72" ht="15" customHeight="1">
      <c r="B14" s="353">
        <f t="shared" si="8"/>
        <v>0</v>
      </c>
      <c r="C14" s="353">
        <f t="shared" si="9"/>
        <v>1</v>
      </c>
      <c r="D14" s="88">
        <v>1</v>
      </c>
      <c r="G14" s="86">
        <v>1</v>
      </c>
      <c r="H14" s="272"/>
      <c r="I14" s="79" t="s">
        <v>245</v>
      </c>
      <c r="J14" s="78" t="s">
        <v>21</v>
      </c>
      <c r="K14" s="78"/>
      <c r="L14" s="74"/>
      <c r="M14" s="74"/>
      <c r="N14" s="74"/>
      <c r="O14" s="73">
        <v>3</v>
      </c>
      <c r="P14" s="73">
        <v>6</v>
      </c>
      <c r="Q14" s="73">
        <v>-3</v>
      </c>
      <c r="R14" s="73">
        <v>7</v>
      </c>
      <c r="S14" s="77">
        <f t="shared" si="0"/>
        <v>0.8571428571428571</v>
      </c>
      <c r="T14" s="48"/>
      <c r="U14" s="48"/>
      <c r="V14" s="73">
        <v>3</v>
      </c>
      <c r="W14" s="48"/>
      <c r="X14" s="142"/>
      <c r="Y14" s="142"/>
      <c r="Z14" s="142"/>
      <c r="AA14" s="32"/>
      <c r="AB14" s="73">
        <v>1</v>
      </c>
      <c r="AC14" s="73"/>
      <c r="AD14" s="73"/>
      <c r="AE14" s="73">
        <f t="shared" si="10"/>
        <v>3</v>
      </c>
      <c r="AF14" s="73">
        <f t="shared" si="1"/>
        <v>3</v>
      </c>
      <c r="AG14" s="73"/>
      <c r="AH14" s="73"/>
      <c r="AI14" s="32"/>
      <c r="AJ14" s="421">
        <f t="shared" si="11"/>
        <v>0.8571428571428571</v>
      </c>
      <c r="AK14" s="421" t="str">
        <f t="shared" si="2"/>
        <v/>
      </c>
      <c r="AL14" s="73">
        <f t="shared" si="12"/>
        <v>0</v>
      </c>
      <c r="AM14" s="73">
        <f t="shared" si="13"/>
        <v>1</v>
      </c>
      <c r="AO14" s="176"/>
      <c r="AP14" s="142"/>
      <c r="AQ14" s="144"/>
      <c r="AR14" s="142">
        <f t="shared" si="3"/>
        <v>6</v>
      </c>
      <c r="AS14" s="170">
        <f t="shared" si="4"/>
        <v>0</v>
      </c>
      <c r="AT14" s="142">
        <f t="shared" si="5"/>
        <v>7</v>
      </c>
      <c r="AV14" s="142"/>
      <c r="AW14" s="92">
        <f t="shared" si="6"/>
        <v>6</v>
      </c>
      <c r="AX14" s="93">
        <f t="shared" si="7"/>
        <v>7</v>
      </c>
      <c r="AY14" s="4"/>
      <c r="AZ14" s="72"/>
      <c r="BA14" s="72"/>
      <c r="BB14" s="187" t="s">
        <v>343</v>
      </c>
      <c r="BC14" s="187"/>
      <c r="BD14" s="93"/>
      <c r="BE14" s="93"/>
      <c r="BF14" s="181"/>
      <c r="BG14" s="181"/>
      <c r="BH14" s="181"/>
      <c r="BI14" s="181"/>
      <c r="BJ14" s="189"/>
      <c r="BK14" s="72"/>
      <c r="BL14" s="72"/>
      <c r="BM14" s="72"/>
      <c r="BN14" s="72"/>
      <c r="BO14" s="72"/>
      <c r="BP14" s="72"/>
      <c r="BQ14" s="72"/>
      <c r="BR14" s="72"/>
      <c r="BS14" s="72"/>
      <c r="BT14" s="72"/>
    </row>
    <row r="15" spans="2:72" ht="15" customHeight="1">
      <c r="B15" s="353">
        <f t="shared" si="8"/>
        <v>0</v>
      </c>
      <c r="C15" s="353">
        <f t="shared" si="9"/>
        <v>0</v>
      </c>
      <c r="D15" s="88">
        <v>1</v>
      </c>
      <c r="G15" s="73"/>
      <c r="H15" s="32"/>
      <c r="I15" s="79" t="s">
        <v>36</v>
      </c>
      <c r="J15" s="74">
        <v>0</v>
      </c>
      <c r="K15" s="74"/>
      <c r="L15" s="74"/>
      <c r="M15" s="74"/>
      <c r="N15" s="74"/>
      <c r="O15" s="73"/>
      <c r="P15" s="73"/>
      <c r="Q15" s="73"/>
      <c r="R15" s="73">
        <v>2</v>
      </c>
      <c r="S15" s="77">
        <f t="shared" si="0"/>
        <v>0</v>
      </c>
      <c r="T15" s="48"/>
      <c r="U15" s="48"/>
      <c r="V15" s="73"/>
      <c r="W15" s="48"/>
      <c r="X15" s="142"/>
      <c r="Y15" s="142"/>
      <c r="Z15" s="142"/>
      <c r="AA15" s="32"/>
      <c r="AB15" s="73"/>
      <c r="AC15" s="73"/>
      <c r="AD15" s="73"/>
      <c r="AE15" s="73">
        <f t="shared" si="10"/>
        <v>0</v>
      </c>
      <c r="AF15" s="73">
        <f t="shared" si="1"/>
        <v>0</v>
      </c>
      <c r="AG15" s="73"/>
      <c r="AH15" s="73"/>
      <c r="AI15" s="32"/>
      <c r="AJ15" s="421">
        <f t="shared" si="11"/>
        <v>0</v>
      </c>
      <c r="AK15" s="421" t="str">
        <f t="shared" si="2"/>
        <v/>
      </c>
      <c r="AL15" s="73">
        <f t="shared" si="12"/>
        <v>0</v>
      </c>
      <c r="AM15" s="73">
        <f t="shared" si="13"/>
        <v>0</v>
      </c>
      <c r="AO15" s="176"/>
      <c r="AP15" s="142"/>
      <c r="AQ15" s="144"/>
      <c r="AR15" s="142">
        <f t="shared" si="3"/>
        <v>0</v>
      </c>
      <c r="AS15" s="170">
        <f t="shared" si="4"/>
        <v>0</v>
      </c>
      <c r="AT15" s="142">
        <f t="shared" si="5"/>
        <v>2</v>
      </c>
      <c r="AV15" s="142"/>
      <c r="AW15" s="92">
        <f t="shared" si="6"/>
        <v>0</v>
      </c>
      <c r="AX15" s="93">
        <f t="shared" si="7"/>
        <v>2</v>
      </c>
      <c r="AY15" s="4"/>
      <c r="AZ15" s="72"/>
      <c r="BA15" s="72"/>
      <c r="BB15" s="187" t="s">
        <v>344</v>
      </c>
      <c r="BC15" s="187"/>
      <c r="BD15" s="93"/>
      <c r="BE15" s="93"/>
      <c r="BF15" s="181"/>
      <c r="BG15" s="181"/>
      <c r="BH15" s="181"/>
      <c r="BI15" s="181"/>
      <c r="BJ15" s="189"/>
      <c r="BK15" s="72"/>
      <c r="BL15" s="72"/>
      <c r="BM15" s="72"/>
      <c r="BN15" s="72"/>
      <c r="BO15" s="72"/>
      <c r="BP15" s="72"/>
      <c r="BQ15" s="72"/>
      <c r="BR15" s="72"/>
      <c r="BS15" s="72"/>
      <c r="BT15" s="72"/>
    </row>
    <row r="16" spans="2:72" ht="15" customHeight="1">
      <c r="B16" s="353">
        <f t="shared" si="8"/>
        <v>0</v>
      </c>
      <c r="C16" s="353">
        <f t="shared" si="9"/>
        <v>0</v>
      </c>
      <c r="D16" s="88">
        <v>1</v>
      </c>
      <c r="G16" s="73"/>
      <c r="H16" s="32"/>
      <c r="I16" s="79" t="s">
        <v>90</v>
      </c>
      <c r="J16" s="74">
        <v>0</v>
      </c>
      <c r="K16" s="74"/>
      <c r="L16" s="74"/>
      <c r="M16" s="74"/>
      <c r="N16" s="74"/>
      <c r="O16" s="73"/>
      <c r="P16" s="73"/>
      <c r="Q16" s="73"/>
      <c r="R16" s="73"/>
      <c r="S16" s="77"/>
      <c r="T16" s="48"/>
      <c r="U16" s="48"/>
      <c r="V16" s="73"/>
      <c r="W16" s="48"/>
      <c r="X16" s="142"/>
      <c r="Y16" s="142"/>
      <c r="Z16" s="142"/>
      <c r="AA16" s="32"/>
      <c r="AB16" s="73"/>
      <c r="AC16" s="73"/>
      <c r="AD16" s="73"/>
      <c r="AE16" s="73">
        <f t="shared" si="10"/>
        <v>0</v>
      </c>
      <c r="AF16" s="73">
        <f t="shared" si="1"/>
        <v>0</v>
      </c>
      <c r="AG16" s="73"/>
      <c r="AH16" s="73"/>
      <c r="AI16" s="32"/>
      <c r="AJ16" s="421">
        <f t="shared" si="11"/>
        <v>0</v>
      </c>
      <c r="AK16" s="421" t="str">
        <f t="shared" si="2"/>
        <v/>
      </c>
      <c r="AL16" s="73">
        <f t="shared" si="12"/>
        <v>0</v>
      </c>
      <c r="AM16" s="73">
        <f t="shared" si="13"/>
        <v>0</v>
      </c>
      <c r="AO16" s="176"/>
      <c r="AP16" s="142"/>
      <c r="AQ16" s="144"/>
      <c r="AR16" s="142">
        <f t="shared" si="3"/>
        <v>0</v>
      </c>
      <c r="AS16" s="170">
        <f t="shared" si="4"/>
        <v>0</v>
      </c>
      <c r="AT16" s="142">
        <f t="shared" si="5"/>
        <v>0</v>
      </c>
      <c r="AV16" s="142"/>
      <c r="AW16" s="92">
        <f t="shared" si="6"/>
        <v>0</v>
      </c>
      <c r="AX16" s="93">
        <f t="shared" si="7"/>
        <v>0</v>
      </c>
      <c r="AY16" s="4"/>
      <c r="AZ16" s="72"/>
      <c r="BA16" s="72"/>
      <c r="BB16" s="188" t="s">
        <v>345</v>
      </c>
      <c r="BC16" s="188"/>
      <c r="BD16" s="178"/>
      <c r="BE16" s="178"/>
      <c r="BF16" s="182"/>
      <c r="BG16" s="182"/>
      <c r="BH16" s="182"/>
      <c r="BI16" s="182"/>
      <c r="BJ16" s="190"/>
      <c r="BK16" s="72"/>
      <c r="BL16" s="72"/>
      <c r="BM16" s="72"/>
      <c r="BN16" s="72"/>
      <c r="BO16" s="72"/>
      <c r="BP16" s="72"/>
      <c r="BQ16" s="72"/>
      <c r="BR16" s="72"/>
      <c r="BS16" s="72"/>
      <c r="BT16" s="72"/>
    </row>
    <row r="17" spans="1:90" ht="15" customHeight="1">
      <c r="B17" s="353">
        <f t="shared" si="8"/>
        <v>1</v>
      </c>
      <c r="C17" s="353">
        <f t="shared" si="9"/>
        <v>1</v>
      </c>
      <c r="D17" s="88">
        <v>1</v>
      </c>
      <c r="G17" s="73"/>
      <c r="H17" s="32"/>
      <c r="I17" s="79" t="s">
        <v>14</v>
      </c>
      <c r="J17" s="74">
        <v>1</v>
      </c>
      <c r="K17" s="74"/>
      <c r="L17" s="74"/>
      <c r="M17" s="74"/>
      <c r="N17" s="74"/>
      <c r="O17" s="73"/>
      <c r="P17" s="73">
        <v>10</v>
      </c>
      <c r="Q17" s="73"/>
      <c r="R17" s="73">
        <v>2</v>
      </c>
      <c r="S17" s="77">
        <f>IF(R17=0,"",P17/R17)</f>
        <v>5</v>
      </c>
      <c r="T17" s="48"/>
      <c r="U17" s="48"/>
      <c r="V17" s="73"/>
      <c r="W17" s="48"/>
      <c r="X17" s="142"/>
      <c r="Y17" s="142"/>
      <c r="Z17" s="142"/>
      <c r="AA17" s="32"/>
      <c r="AB17" s="73"/>
      <c r="AC17" s="73"/>
      <c r="AD17" s="73"/>
      <c r="AE17" s="73">
        <f t="shared" si="10"/>
        <v>0</v>
      </c>
      <c r="AF17" s="73">
        <f t="shared" si="1"/>
        <v>0</v>
      </c>
      <c r="AG17" s="73"/>
      <c r="AH17" s="73"/>
      <c r="AI17" s="32"/>
      <c r="AJ17" s="421">
        <f t="shared" si="11"/>
        <v>5</v>
      </c>
      <c r="AK17" s="421">
        <f t="shared" si="2"/>
        <v>5</v>
      </c>
      <c r="AL17" s="73">
        <f t="shared" si="12"/>
        <v>1</v>
      </c>
      <c r="AM17" s="73">
        <f t="shared" si="13"/>
        <v>1</v>
      </c>
      <c r="AO17" s="176"/>
      <c r="AP17" s="142"/>
      <c r="AQ17" s="144"/>
      <c r="AR17" s="142">
        <f t="shared" si="3"/>
        <v>10</v>
      </c>
      <c r="AS17" s="170">
        <f t="shared" si="4"/>
        <v>0</v>
      </c>
      <c r="AT17" s="142">
        <f t="shared" si="5"/>
        <v>2</v>
      </c>
      <c r="AV17" s="142"/>
      <c r="AW17" s="92">
        <f t="shared" si="6"/>
        <v>10</v>
      </c>
      <c r="AX17" s="93">
        <f t="shared" si="7"/>
        <v>2</v>
      </c>
      <c r="AY17" s="4"/>
      <c r="AZ17" s="72"/>
      <c r="BA17" s="72"/>
      <c r="BB17" s="72"/>
      <c r="BC17" s="72"/>
      <c r="BD17" s="41"/>
      <c r="BE17" s="41"/>
      <c r="BF17" s="41"/>
      <c r="BG17" s="41"/>
      <c r="BH17" s="41"/>
      <c r="BI17" s="41"/>
      <c r="BJ17" s="41"/>
      <c r="BK17" s="72"/>
      <c r="BL17" s="72"/>
      <c r="BM17" s="72"/>
      <c r="BN17" s="72"/>
      <c r="BO17" s="72"/>
      <c r="BP17" s="72"/>
      <c r="BQ17" s="72"/>
      <c r="BR17" s="72"/>
      <c r="BS17" s="72"/>
      <c r="BT17" s="72"/>
    </row>
    <row r="18" spans="1:90" ht="15" customHeight="1">
      <c r="B18" s="353">
        <f t="shared" si="8"/>
        <v>1</v>
      </c>
      <c r="C18" s="353">
        <f t="shared" si="9"/>
        <v>1</v>
      </c>
      <c r="D18" s="88">
        <v>1</v>
      </c>
      <c r="G18" s="73">
        <v>1</v>
      </c>
      <c r="H18" s="32"/>
      <c r="I18" s="79" t="s">
        <v>15</v>
      </c>
      <c r="J18" s="74">
        <v>1</v>
      </c>
      <c r="K18" s="74"/>
      <c r="L18" s="74"/>
      <c r="M18" s="74"/>
      <c r="N18" s="74"/>
      <c r="O18" s="73">
        <v>1</v>
      </c>
      <c r="P18" s="73">
        <v>1</v>
      </c>
      <c r="Q18" s="73"/>
      <c r="R18" s="73"/>
      <c r="S18" s="77" t="str">
        <f>IF(R18=0,"",P18/R18)</f>
        <v/>
      </c>
      <c r="T18" s="48"/>
      <c r="U18" s="48"/>
      <c r="V18" s="73">
        <v>1</v>
      </c>
      <c r="W18" s="48"/>
      <c r="X18" s="142"/>
      <c r="Y18" s="142"/>
      <c r="Z18" s="142"/>
      <c r="AA18" s="32"/>
      <c r="AB18" s="73">
        <v>1</v>
      </c>
      <c r="AC18" s="73"/>
      <c r="AD18" s="73"/>
      <c r="AE18" s="73">
        <f t="shared" si="10"/>
        <v>1</v>
      </c>
      <c r="AF18" s="73">
        <f t="shared" si="1"/>
        <v>1</v>
      </c>
      <c r="AG18" s="73"/>
      <c r="AH18" s="73"/>
      <c r="AI18" s="32"/>
      <c r="AJ18" s="421" t="str">
        <f t="shared" si="11"/>
        <v/>
      </c>
      <c r="AK18" s="421" t="str">
        <f t="shared" si="2"/>
        <v/>
      </c>
      <c r="AL18" s="73">
        <f t="shared" si="12"/>
        <v>1</v>
      </c>
      <c r="AM18" s="73">
        <f t="shared" si="13"/>
        <v>1</v>
      </c>
      <c r="AO18" s="176"/>
      <c r="AP18" s="142"/>
      <c r="AQ18" s="144"/>
      <c r="AR18" s="142">
        <f t="shared" si="3"/>
        <v>1</v>
      </c>
      <c r="AS18" s="170">
        <f t="shared" si="4"/>
        <v>0</v>
      </c>
      <c r="AT18" s="142">
        <f t="shared" si="5"/>
        <v>0</v>
      </c>
      <c r="AV18" s="142"/>
      <c r="AW18" s="92">
        <f t="shared" si="6"/>
        <v>1</v>
      </c>
      <c r="AX18" s="93">
        <f t="shared" si="7"/>
        <v>0</v>
      </c>
      <c r="AY18" s="4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</row>
    <row r="19" spans="1:90" ht="15" customHeight="1">
      <c r="B19" s="353">
        <f t="shared" si="8"/>
        <v>1</v>
      </c>
      <c r="C19" s="353">
        <f t="shared" si="9"/>
        <v>1</v>
      </c>
      <c r="D19" s="88">
        <v>1</v>
      </c>
      <c r="G19" s="73">
        <v>1</v>
      </c>
      <c r="H19" s="32"/>
      <c r="I19" s="79" t="s">
        <v>246</v>
      </c>
      <c r="J19" s="74">
        <v>1</v>
      </c>
      <c r="K19" s="74"/>
      <c r="L19" s="74">
        <v>1</v>
      </c>
      <c r="M19" s="74"/>
      <c r="N19" s="74">
        <v>1</v>
      </c>
      <c r="O19" s="73">
        <f>P19-R19</f>
        <v>11</v>
      </c>
      <c r="P19" s="73">
        <v>15</v>
      </c>
      <c r="Q19" s="73"/>
      <c r="R19" s="73">
        <v>4</v>
      </c>
      <c r="S19" s="77">
        <f>IF(R19=0,"",P19/R19)</f>
        <v>3.75</v>
      </c>
      <c r="T19" s="48"/>
      <c r="U19" s="48"/>
      <c r="V19" s="73">
        <f>2</f>
        <v>2</v>
      </c>
      <c r="W19" s="48"/>
      <c r="X19" s="142"/>
      <c r="Y19" s="142"/>
      <c r="Z19" s="142"/>
      <c r="AA19" s="32"/>
      <c r="AB19" s="73">
        <v>11</v>
      </c>
      <c r="AC19" s="73"/>
      <c r="AD19" s="73"/>
      <c r="AE19" s="73">
        <f t="shared" si="10"/>
        <v>2</v>
      </c>
      <c r="AF19" s="73">
        <f t="shared" si="1"/>
        <v>2</v>
      </c>
      <c r="AG19" s="73"/>
      <c r="AH19" s="73"/>
      <c r="AI19" s="32"/>
      <c r="AJ19" s="421">
        <f t="shared" si="11"/>
        <v>3.75</v>
      </c>
      <c r="AK19" s="421">
        <f t="shared" si="2"/>
        <v>3.75</v>
      </c>
      <c r="AL19" s="73">
        <f t="shared" si="12"/>
        <v>1</v>
      </c>
      <c r="AM19" s="73">
        <f t="shared" si="13"/>
        <v>1</v>
      </c>
      <c r="AO19" s="176"/>
      <c r="AP19" s="142"/>
      <c r="AQ19" s="144"/>
      <c r="AR19" s="142">
        <f t="shared" si="3"/>
        <v>15</v>
      </c>
      <c r="AS19" s="170">
        <f t="shared" si="4"/>
        <v>0</v>
      </c>
      <c r="AT19" s="142">
        <f t="shared" si="5"/>
        <v>4</v>
      </c>
      <c r="AV19" s="142"/>
      <c r="AW19" s="92">
        <f t="shared" si="6"/>
        <v>15</v>
      </c>
      <c r="AX19" s="93">
        <f t="shared" si="7"/>
        <v>4</v>
      </c>
      <c r="AY19" s="4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</row>
    <row r="20" spans="1:90" ht="15" customHeight="1">
      <c r="B20" s="353">
        <f t="shared" si="8"/>
        <v>0</v>
      </c>
      <c r="C20" s="353">
        <f t="shared" si="9"/>
        <v>1</v>
      </c>
      <c r="D20" s="88">
        <v>1</v>
      </c>
      <c r="G20" s="73"/>
      <c r="H20" s="32"/>
      <c r="I20" s="79" t="s">
        <v>130</v>
      </c>
      <c r="J20" s="74" t="s">
        <v>21</v>
      </c>
      <c r="K20" s="74"/>
      <c r="L20" s="74"/>
      <c r="M20" s="74"/>
      <c r="N20" s="74"/>
      <c r="O20" s="73">
        <v>2</v>
      </c>
      <c r="P20" s="73">
        <v>2</v>
      </c>
      <c r="Q20" s="73"/>
      <c r="R20" s="73">
        <v>1</v>
      </c>
      <c r="S20" s="77">
        <f>IF(R20=0,"",P20/R20)</f>
        <v>2</v>
      </c>
      <c r="T20" s="48"/>
      <c r="U20" s="48"/>
      <c r="V20" s="73"/>
      <c r="W20" s="48"/>
      <c r="X20" s="142"/>
      <c r="Y20" s="142"/>
      <c r="Z20" s="142"/>
      <c r="AA20" s="32"/>
      <c r="AB20" s="73">
        <v>2</v>
      </c>
      <c r="AC20" s="73"/>
      <c r="AD20" s="73"/>
      <c r="AE20" s="73">
        <f t="shared" si="10"/>
        <v>0</v>
      </c>
      <c r="AF20" s="73">
        <f t="shared" si="1"/>
        <v>0</v>
      </c>
      <c r="AG20" s="73"/>
      <c r="AH20" s="73"/>
      <c r="AI20" s="32"/>
      <c r="AJ20" s="421">
        <f t="shared" si="11"/>
        <v>2</v>
      </c>
      <c r="AK20" s="421">
        <f t="shared" si="2"/>
        <v>2</v>
      </c>
      <c r="AL20" s="73">
        <f t="shared" si="12"/>
        <v>1</v>
      </c>
      <c r="AM20" s="73">
        <f t="shared" si="13"/>
        <v>1</v>
      </c>
      <c r="AO20" s="176"/>
      <c r="AP20" s="142"/>
      <c r="AQ20" s="144"/>
      <c r="AR20" s="142">
        <f t="shared" si="3"/>
        <v>2</v>
      </c>
      <c r="AS20" s="170">
        <f t="shared" si="4"/>
        <v>0</v>
      </c>
      <c r="AT20" s="142">
        <f t="shared" si="5"/>
        <v>1</v>
      </c>
      <c r="AV20" s="142"/>
      <c r="AW20" s="92">
        <f t="shared" si="6"/>
        <v>2</v>
      </c>
      <c r="AX20" s="93">
        <f t="shared" si="7"/>
        <v>1</v>
      </c>
      <c r="AY20" s="4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</row>
    <row r="21" spans="1:90" ht="15" customHeight="1">
      <c r="B21" s="353">
        <f t="shared" si="8"/>
        <v>0</v>
      </c>
      <c r="C21" s="353">
        <f t="shared" si="9"/>
        <v>0</v>
      </c>
      <c r="D21" s="88">
        <v>1</v>
      </c>
      <c r="G21" s="73"/>
      <c r="H21" s="32"/>
      <c r="I21" s="79" t="s">
        <v>109</v>
      </c>
      <c r="J21" s="74">
        <v>0</v>
      </c>
      <c r="K21" s="74"/>
      <c r="L21" s="74"/>
      <c r="M21" s="74"/>
      <c r="N21" s="74"/>
      <c r="O21" s="73"/>
      <c r="P21" s="73"/>
      <c r="Q21" s="73"/>
      <c r="R21" s="73"/>
      <c r="S21" s="77"/>
      <c r="T21" s="48"/>
      <c r="U21" s="48"/>
      <c r="V21" s="73"/>
      <c r="W21" s="48"/>
      <c r="X21" s="142"/>
      <c r="Y21" s="142"/>
      <c r="Z21" s="142"/>
      <c r="AA21" s="32"/>
      <c r="AB21" s="73"/>
      <c r="AC21" s="73"/>
      <c r="AD21" s="73"/>
      <c r="AE21" s="73">
        <f t="shared" si="10"/>
        <v>0</v>
      </c>
      <c r="AF21" s="73">
        <f t="shared" si="1"/>
        <v>0</v>
      </c>
      <c r="AG21" s="73"/>
      <c r="AH21" s="73"/>
      <c r="AI21" s="32"/>
      <c r="AJ21" s="421">
        <f t="shared" si="11"/>
        <v>0</v>
      </c>
      <c r="AK21" s="421" t="str">
        <f t="shared" si="2"/>
        <v/>
      </c>
      <c r="AL21" s="73">
        <f t="shared" si="12"/>
        <v>0</v>
      </c>
      <c r="AM21" s="73">
        <f t="shared" si="13"/>
        <v>0</v>
      </c>
      <c r="AO21" s="176"/>
      <c r="AP21" s="142"/>
      <c r="AQ21" s="144"/>
      <c r="AR21" s="142">
        <f t="shared" si="3"/>
        <v>0</v>
      </c>
      <c r="AS21" s="170">
        <f t="shared" si="4"/>
        <v>0</v>
      </c>
      <c r="AT21" s="142">
        <f t="shared" si="5"/>
        <v>0</v>
      </c>
      <c r="AV21" s="142"/>
      <c r="AW21" s="92">
        <f t="shared" si="6"/>
        <v>0</v>
      </c>
      <c r="AX21" s="93">
        <f t="shared" si="7"/>
        <v>0</v>
      </c>
      <c r="AY21" s="4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</row>
    <row r="22" spans="1:90" ht="15" customHeight="1">
      <c r="B22" s="353">
        <f t="shared" si="8"/>
        <v>1</v>
      </c>
      <c r="C22" s="353">
        <f t="shared" si="9"/>
        <v>1</v>
      </c>
      <c r="D22" s="88">
        <v>1</v>
      </c>
      <c r="G22" s="73">
        <v>1</v>
      </c>
      <c r="H22" s="32"/>
      <c r="I22" s="79" t="s">
        <v>20</v>
      </c>
      <c r="J22" s="74">
        <v>1</v>
      </c>
      <c r="K22" s="74"/>
      <c r="L22" s="74"/>
      <c r="M22" s="74"/>
      <c r="N22" s="74"/>
      <c r="O22" s="73"/>
      <c r="P22" s="73">
        <v>35</v>
      </c>
      <c r="Q22" s="73">
        <v>-5</v>
      </c>
      <c r="R22" s="73">
        <v>40</v>
      </c>
      <c r="S22" s="77">
        <f t="shared" ref="S22:S28" si="14">IF(R22=0,"",P22/R22)</f>
        <v>0.875</v>
      </c>
      <c r="T22" s="48"/>
      <c r="U22" s="48"/>
      <c r="V22" s="73"/>
      <c r="W22" s="48"/>
      <c r="X22" s="142"/>
      <c r="Y22" s="142"/>
      <c r="Z22" s="142"/>
      <c r="AA22" s="32"/>
      <c r="AB22" s="73"/>
      <c r="AC22" s="73"/>
      <c r="AD22" s="73"/>
      <c r="AE22" s="73">
        <f t="shared" si="10"/>
        <v>0</v>
      </c>
      <c r="AF22" s="73">
        <f t="shared" si="1"/>
        <v>0</v>
      </c>
      <c r="AG22" s="73"/>
      <c r="AH22" s="73"/>
      <c r="AI22" s="32"/>
      <c r="AJ22" s="421">
        <f t="shared" si="11"/>
        <v>0.875</v>
      </c>
      <c r="AK22" s="421" t="str">
        <f t="shared" si="2"/>
        <v/>
      </c>
      <c r="AL22" s="73">
        <f t="shared" si="12"/>
        <v>0</v>
      </c>
      <c r="AM22" s="73">
        <f t="shared" si="13"/>
        <v>1</v>
      </c>
      <c r="AO22" s="176"/>
      <c r="AP22" s="142"/>
      <c r="AQ22" s="144"/>
      <c r="AR22" s="142">
        <f t="shared" si="3"/>
        <v>35</v>
      </c>
      <c r="AS22" s="170">
        <f t="shared" si="4"/>
        <v>0</v>
      </c>
      <c r="AT22" s="142">
        <f t="shared" si="5"/>
        <v>40</v>
      </c>
      <c r="AV22" s="142"/>
      <c r="AW22" s="92">
        <f t="shared" si="6"/>
        <v>35</v>
      </c>
      <c r="AX22" s="93">
        <f t="shared" si="7"/>
        <v>40</v>
      </c>
      <c r="AY22" s="4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</row>
    <row r="23" spans="1:90" ht="15" customHeight="1">
      <c r="B23" s="353">
        <f t="shared" si="8"/>
        <v>0</v>
      </c>
      <c r="C23" s="353">
        <f t="shared" si="9"/>
        <v>1</v>
      </c>
      <c r="D23" s="88">
        <v>1</v>
      </c>
      <c r="G23" s="86"/>
      <c r="H23" s="272"/>
      <c r="I23" s="79" t="s">
        <v>16</v>
      </c>
      <c r="J23" s="78" t="s">
        <v>21</v>
      </c>
      <c r="K23" s="78"/>
      <c r="L23" s="74"/>
      <c r="M23" s="74"/>
      <c r="N23" s="74"/>
      <c r="O23" s="73"/>
      <c r="P23" s="73">
        <v>11</v>
      </c>
      <c r="Q23" s="73"/>
      <c r="R23" s="73"/>
      <c r="S23" s="77" t="str">
        <f t="shared" si="14"/>
        <v/>
      </c>
      <c r="T23" s="48"/>
      <c r="U23" s="48"/>
      <c r="V23" s="73"/>
      <c r="W23" s="48"/>
      <c r="X23" s="142"/>
      <c r="Y23" s="142"/>
      <c r="Z23" s="142"/>
      <c r="AA23" s="32"/>
      <c r="AB23" s="73"/>
      <c r="AC23" s="73"/>
      <c r="AD23" s="73"/>
      <c r="AE23" s="73">
        <f t="shared" si="10"/>
        <v>0</v>
      </c>
      <c r="AF23" s="73">
        <f t="shared" si="1"/>
        <v>0</v>
      </c>
      <c r="AG23" s="73"/>
      <c r="AH23" s="73"/>
      <c r="AI23" s="32"/>
      <c r="AJ23" s="421" t="str">
        <f t="shared" si="11"/>
        <v/>
      </c>
      <c r="AK23" s="421" t="str">
        <f t="shared" si="2"/>
        <v/>
      </c>
      <c r="AL23" s="73">
        <f t="shared" si="12"/>
        <v>1</v>
      </c>
      <c r="AM23" s="73">
        <f t="shared" si="13"/>
        <v>1</v>
      </c>
      <c r="AO23" s="176"/>
      <c r="AP23" s="142"/>
      <c r="AQ23" s="144"/>
      <c r="AR23" s="142">
        <f t="shared" si="3"/>
        <v>11</v>
      </c>
      <c r="AS23" s="170">
        <f t="shared" si="4"/>
        <v>0</v>
      </c>
      <c r="AT23" s="142">
        <f t="shared" si="5"/>
        <v>0</v>
      </c>
      <c r="AV23" s="142"/>
      <c r="AW23" s="92">
        <f t="shared" si="6"/>
        <v>11</v>
      </c>
      <c r="AX23" s="93">
        <f t="shared" si="7"/>
        <v>0</v>
      </c>
      <c r="AY23" s="4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</row>
    <row r="24" spans="1:90" ht="15" customHeight="1">
      <c r="B24" s="353">
        <f t="shared" si="8"/>
        <v>1</v>
      </c>
      <c r="C24" s="353">
        <f t="shared" si="9"/>
        <v>1</v>
      </c>
      <c r="D24" s="88">
        <v>1</v>
      </c>
      <c r="G24" s="73"/>
      <c r="H24" s="32"/>
      <c r="I24" s="79" t="s">
        <v>105</v>
      </c>
      <c r="J24" s="74">
        <v>1</v>
      </c>
      <c r="K24" s="74"/>
      <c r="L24" s="74"/>
      <c r="M24" s="74"/>
      <c r="N24" s="74"/>
      <c r="O24" s="73"/>
      <c r="P24" s="73">
        <v>6</v>
      </c>
      <c r="Q24" s="73"/>
      <c r="R24" s="73">
        <f>3+3</f>
        <v>6</v>
      </c>
      <c r="S24" s="77">
        <f t="shared" si="14"/>
        <v>1</v>
      </c>
      <c r="T24" s="48"/>
      <c r="U24" s="48"/>
      <c r="V24" s="73"/>
      <c r="W24" s="48"/>
      <c r="X24" s="142"/>
      <c r="Y24" s="142">
        <v>6</v>
      </c>
      <c r="Z24" s="142"/>
      <c r="AA24" s="32"/>
      <c r="AB24" s="73"/>
      <c r="AC24" s="73"/>
      <c r="AD24" s="73"/>
      <c r="AE24" s="73">
        <f t="shared" si="10"/>
        <v>0</v>
      </c>
      <c r="AF24" s="73">
        <f t="shared" si="1"/>
        <v>0</v>
      </c>
      <c r="AG24" s="73"/>
      <c r="AH24" s="73"/>
      <c r="AI24" s="32"/>
      <c r="AJ24" s="421">
        <f t="shared" si="11"/>
        <v>1</v>
      </c>
      <c r="AK24" s="421" t="str">
        <f t="shared" si="2"/>
        <v/>
      </c>
      <c r="AL24" s="73">
        <f t="shared" si="12"/>
        <v>0</v>
      </c>
      <c r="AM24" s="73">
        <f t="shared" si="13"/>
        <v>1</v>
      </c>
      <c r="AO24" s="176"/>
      <c r="AP24" s="142"/>
      <c r="AQ24" s="144"/>
      <c r="AR24" s="142">
        <f t="shared" si="3"/>
        <v>6</v>
      </c>
      <c r="AS24" s="170">
        <f t="shared" si="4"/>
        <v>0</v>
      </c>
      <c r="AT24" s="142">
        <f t="shared" si="5"/>
        <v>6</v>
      </c>
      <c r="AV24" s="142"/>
      <c r="AW24" s="92">
        <f t="shared" si="6"/>
        <v>6</v>
      </c>
      <c r="AX24" s="93">
        <f t="shared" si="7"/>
        <v>6</v>
      </c>
      <c r="AY24" s="4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</row>
    <row r="25" spans="1:90" ht="15" customHeight="1">
      <c r="B25" s="353">
        <v>0</v>
      </c>
      <c r="C25" s="353">
        <f t="shared" si="9"/>
        <v>0</v>
      </c>
      <c r="D25" s="88">
        <v>1</v>
      </c>
      <c r="G25" s="73"/>
      <c r="H25" s="32"/>
      <c r="I25" s="79" t="s">
        <v>472</v>
      </c>
      <c r="J25" s="74">
        <v>1</v>
      </c>
      <c r="K25" s="74"/>
      <c r="L25" s="74"/>
      <c r="M25" s="74"/>
      <c r="N25" s="74"/>
      <c r="O25" s="73">
        <v>2</v>
      </c>
      <c r="P25" s="73">
        <v>10</v>
      </c>
      <c r="Q25" s="73"/>
      <c r="R25" s="73">
        <v>20</v>
      </c>
      <c r="S25" s="77">
        <f t="shared" si="14"/>
        <v>0.5</v>
      </c>
      <c r="T25" s="48"/>
      <c r="U25" s="48"/>
      <c r="V25" s="73"/>
      <c r="W25" s="48"/>
      <c r="X25" s="142"/>
      <c r="Y25" s="142">
        <v>10</v>
      </c>
      <c r="Z25" s="142"/>
      <c r="AA25" s="32"/>
      <c r="AB25" s="73">
        <v>2</v>
      </c>
      <c r="AC25" s="73"/>
      <c r="AD25" s="73"/>
      <c r="AE25" s="73">
        <f t="shared" si="10"/>
        <v>0</v>
      </c>
      <c r="AF25" s="73">
        <f t="shared" si="1"/>
        <v>0</v>
      </c>
      <c r="AG25" s="73"/>
      <c r="AH25" s="73"/>
      <c r="AI25" s="32"/>
      <c r="AJ25" s="421">
        <f t="shared" si="11"/>
        <v>0.5</v>
      </c>
      <c r="AK25" s="421" t="str">
        <f t="shared" si="2"/>
        <v/>
      </c>
      <c r="AL25" s="73">
        <f t="shared" si="12"/>
        <v>0</v>
      </c>
      <c r="AM25" s="73">
        <f t="shared" si="13"/>
        <v>1</v>
      </c>
      <c r="AO25" s="176"/>
      <c r="AP25" s="142"/>
      <c r="AQ25" s="144"/>
      <c r="AR25" s="142">
        <f t="shared" si="3"/>
        <v>10</v>
      </c>
      <c r="AS25" s="170">
        <f t="shared" si="4"/>
        <v>0</v>
      </c>
      <c r="AT25" s="142">
        <f t="shared" si="5"/>
        <v>20</v>
      </c>
      <c r="AV25" s="142"/>
      <c r="AW25" s="92">
        <f t="shared" si="6"/>
        <v>10</v>
      </c>
      <c r="AX25" s="93">
        <f t="shared" si="7"/>
        <v>20</v>
      </c>
      <c r="AY25" s="4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</row>
    <row r="26" spans="1:90" ht="15" customHeight="1">
      <c r="B26" s="353">
        <f t="shared" si="8"/>
        <v>0</v>
      </c>
      <c r="C26" s="353">
        <f t="shared" si="9"/>
        <v>0</v>
      </c>
      <c r="D26" s="88">
        <v>1</v>
      </c>
      <c r="G26" s="73"/>
      <c r="H26" s="32"/>
      <c r="I26" s="79" t="s">
        <v>23</v>
      </c>
      <c r="J26" s="74"/>
      <c r="K26" s="74"/>
      <c r="L26" s="74"/>
      <c r="M26" s="74"/>
      <c r="N26" s="74"/>
      <c r="O26" s="73"/>
      <c r="P26" s="73">
        <v>6</v>
      </c>
      <c r="Q26" s="73"/>
      <c r="R26" s="73">
        <v>13</v>
      </c>
      <c r="S26" s="77">
        <f t="shared" si="14"/>
        <v>0.46153846153846156</v>
      </c>
      <c r="T26" s="48"/>
      <c r="U26" s="48"/>
      <c r="V26" s="73"/>
      <c r="W26" s="48"/>
      <c r="X26" s="142"/>
      <c r="Y26" s="142"/>
      <c r="Z26" s="142"/>
      <c r="AA26" s="32"/>
      <c r="AB26" s="73"/>
      <c r="AC26" s="73"/>
      <c r="AD26" s="73"/>
      <c r="AE26" s="73">
        <f t="shared" si="10"/>
        <v>0</v>
      </c>
      <c r="AF26" s="73">
        <f t="shared" si="1"/>
        <v>0</v>
      </c>
      <c r="AG26" s="73"/>
      <c r="AH26" s="73"/>
      <c r="AI26" s="32"/>
      <c r="AJ26" s="421">
        <f t="shared" si="11"/>
        <v>0.46153846153846156</v>
      </c>
      <c r="AK26" s="421" t="str">
        <f t="shared" si="2"/>
        <v/>
      </c>
      <c r="AL26" s="73">
        <f t="shared" si="12"/>
        <v>0</v>
      </c>
      <c r="AM26" s="73">
        <f t="shared" si="13"/>
        <v>1</v>
      </c>
      <c r="AO26" s="176"/>
      <c r="AP26" s="142"/>
      <c r="AQ26" s="144"/>
      <c r="AR26" s="142">
        <f t="shared" si="3"/>
        <v>6</v>
      </c>
      <c r="AS26" s="170">
        <f t="shared" si="4"/>
        <v>0</v>
      </c>
      <c r="AT26" s="142">
        <f t="shared" si="5"/>
        <v>13</v>
      </c>
      <c r="AV26" s="142"/>
      <c r="AW26" s="92">
        <f t="shared" si="6"/>
        <v>6</v>
      </c>
      <c r="AX26" s="93">
        <f t="shared" si="7"/>
        <v>13</v>
      </c>
      <c r="AY26" s="4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</row>
    <row r="27" spans="1:90" ht="15" customHeight="1">
      <c r="B27" s="353">
        <f t="shared" ref="B27" si="15">IF(J27=1,1,0)</f>
        <v>0</v>
      </c>
      <c r="C27" s="353">
        <f t="shared" ref="C27" si="16">IF(J27="x",1,B27)</f>
        <v>1</v>
      </c>
      <c r="D27" s="88">
        <v>1</v>
      </c>
      <c r="G27" s="73"/>
      <c r="H27" s="32"/>
      <c r="I27" s="87" t="s">
        <v>16</v>
      </c>
      <c r="J27" s="153" t="s">
        <v>21</v>
      </c>
      <c r="K27" s="74"/>
      <c r="L27" s="74"/>
      <c r="M27" s="74"/>
      <c r="N27" s="74"/>
      <c r="O27" s="73"/>
      <c r="P27" s="73"/>
      <c r="Q27" s="73"/>
      <c r="R27" s="73"/>
      <c r="S27" s="77"/>
      <c r="T27" s="48"/>
      <c r="U27" s="48"/>
      <c r="V27" s="73"/>
      <c r="W27" s="48"/>
      <c r="X27" s="142"/>
      <c r="Y27" s="142"/>
      <c r="Z27" s="166"/>
      <c r="AA27" s="32"/>
      <c r="AB27" s="73"/>
      <c r="AC27" s="73"/>
      <c r="AD27" s="73"/>
      <c r="AE27" s="73"/>
      <c r="AF27" s="73"/>
      <c r="AG27" s="73"/>
      <c r="AH27" s="73"/>
      <c r="AI27" s="32"/>
      <c r="AJ27" s="421">
        <f t="shared" si="11"/>
        <v>0</v>
      </c>
      <c r="AK27" s="421" t="str">
        <f t="shared" si="2"/>
        <v/>
      </c>
      <c r="AL27" s="73">
        <f t="shared" si="12"/>
        <v>0</v>
      </c>
      <c r="AM27" s="73">
        <f t="shared" si="13"/>
        <v>0</v>
      </c>
      <c r="AO27" s="176"/>
      <c r="AP27" s="142"/>
      <c r="AQ27" s="144"/>
      <c r="AR27" s="142"/>
      <c r="AS27" s="170"/>
      <c r="AT27" s="142"/>
      <c r="AV27" s="142"/>
      <c r="AW27" s="92"/>
      <c r="AX27" s="93"/>
      <c r="AY27" s="348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</row>
    <row r="28" spans="1:90">
      <c r="A28" s="211"/>
      <c r="B28" s="352">
        <f t="shared" ref="B28:C28" si="17">SUM(B5:B27)</f>
        <v>12</v>
      </c>
      <c r="C28" s="352">
        <f t="shared" si="17"/>
        <v>18</v>
      </c>
      <c r="D28" s="352">
        <f>SUM(D5:D27)</f>
        <v>23</v>
      </c>
      <c r="G28" s="28">
        <f>SUM(G5:G26)</f>
        <v>12</v>
      </c>
      <c r="H28" s="32"/>
      <c r="I28" s="25" t="str">
        <f>CL28</f>
        <v>Nombre de dossiers = 12 / 23 = 52,17%</v>
      </c>
      <c r="J28" s="80">
        <f>B28</f>
        <v>12</v>
      </c>
      <c r="K28" s="80"/>
      <c r="L28" s="26">
        <f>SUM(L5:L26)</f>
        <v>2</v>
      </c>
      <c r="M28" s="26">
        <f t="shared" ref="M28" si="18">SUM(M5:M26)</f>
        <v>1</v>
      </c>
      <c r="N28" s="26">
        <f>SUM(N5:N27)</f>
        <v>4</v>
      </c>
      <c r="O28" s="26">
        <f>SUM(O5:O27)</f>
        <v>40.5</v>
      </c>
      <c r="P28" s="27">
        <f>AR29</f>
        <v>250</v>
      </c>
      <c r="Q28" s="27">
        <f>SUM(Q5:Q26)</f>
        <v>-8</v>
      </c>
      <c r="R28" s="263">
        <f>AT28-X28</f>
        <v>160</v>
      </c>
      <c r="S28" s="81">
        <f t="shared" si="14"/>
        <v>1.5625</v>
      </c>
      <c r="T28" s="48"/>
      <c r="U28" s="48"/>
      <c r="V28" s="28">
        <f t="shared" ref="V28" si="19">SUM(V5:V26)</f>
        <v>20</v>
      </c>
      <c r="W28" s="48"/>
      <c r="X28" s="152">
        <f>SUM(X5:X26)</f>
        <v>3</v>
      </c>
      <c r="Y28" s="152">
        <f>SUM(Y5:Y26)</f>
        <v>16</v>
      </c>
      <c r="Z28" s="230"/>
      <c r="AA28" s="32"/>
      <c r="AB28" s="28">
        <f t="shared" ref="AB28:AE28" si="20">SUM(AB5:AB26)</f>
        <v>40.5</v>
      </c>
      <c r="AC28" s="28">
        <f t="shared" si="20"/>
        <v>0</v>
      </c>
      <c r="AD28" s="28"/>
      <c r="AE28" s="28">
        <f t="shared" si="20"/>
        <v>20</v>
      </c>
      <c r="AF28" s="28">
        <f>SUM(AF5:AF26)</f>
        <v>20</v>
      </c>
      <c r="AG28" s="28"/>
      <c r="AH28" s="28"/>
      <c r="AI28" s="32"/>
      <c r="AJ28" s="421"/>
      <c r="AK28" s="421" t="str">
        <f t="shared" si="2"/>
        <v/>
      </c>
      <c r="AL28" s="73">
        <f t="shared" si="12"/>
        <v>0</v>
      </c>
      <c r="AM28" s="73">
        <f t="shared" si="13"/>
        <v>0</v>
      </c>
      <c r="AO28" s="152">
        <f>SUM(AO5:AO26)</f>
        <v>13</v>
      </c>
      <c r="AP28" s="152">
        <f>SUM(AP5:AP26)</f>
        <v>2</v>
      </c>
      <c r="AQ28" s="144"/>
      <c r="AR28" s="152">
        <f>SUM(AR5:AR26)</f>
        <v>253</v>
      </c>
      <c r="AS28" s="171">
        <f>SUM(AS5:AS26)</f>
        <v>3</v>
      </c>
      <c r="AT28" s="152">
        <f>SUM(AT5:AT26)</f>
        <v>163</v>
      </c>
      <c r="AV28" s="152"/>
      <c r="AW28" s="92"/>
      <c r="AX28" s="93"/>
      <c r="AY28" s="4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V28" s="5" t="s">
        <v>364</v>
      </c>
      <c r="BW28" s="5" t="s">
        <v>151</v>
      </c>
      <c r="BX28" s="5" t="s">
        <v>147</v>
      </c>
      <c r="BY28" s="63">
        <f>B28</f>
        <v>12</v>
      </c>
      <c r="BZ28" s="64" t="s">
        <v>95</v>
      </c>
      <c r="CA28">
        <f>D28</f>
        <v>23</v>
      </c>
      <c r="CB28" s="65">
        <f>BY28/CA28</f>
        <v>0.52173913043478259</v>
      </c>
      <c r="CC28">
        <f>CB28*100</f>
        <v>52.173913043478258</v>
      </c>
      <c r="CD28">
        <f>INT(CC28)</f>
        <v>52</v>
      </c>
      <c r="CE28">
        <f>CC28-CD28</f>
        <v>0.17391304347825809</v>
      </c>
      <c r="CF28" t="str">
        <f>MID(CE28,1,4)</f>
        <v>0,17</v>
      </c>
      <c r="CG28">
        <f>CD28+CF28</f>
        <v>52.17</v>
      </c>
      <c r="CH28" t="s">
        <v>149</v>
      </c>
      <c r="CI28" t="str">
        <f>BX28</f>
        <v xml:space="preserve"> = </v>
      </c>
      <c r="CJ28" t="str">
        <f>CG28&amp;CH28</f>
        <v>52,17%</v>
      </c>
      <c r="CL28" t="str">
        <f>BV28&amp;BX28&amp;BY28&amp;BZ28&amp;CA28&amp;CI28&amp;CJ28</f>
        <v>Nombre de dossiers = 12 / 23 = 52,17%</v>
      </c>
    </row>
    <row r="29" spans="1:90">
      <c r="C29" s="353">
        <f t="shared" si="9"/>
        <v>0</v>
      </c>
      <c r="D29" s="88"/>
      <c r="G29" s="32"/>
      <c r="H29" s="32"/>
      <c r="I29" s="461" t="s">
        <v>360</v>
      </c>
      <c r="J29" s="461"/>
      <c r="K29" s="32"/>
      <c r="L29" s="32"/>
      <c r="M29" s="32"/>
      <c r="N29" s="32"/>
      <c r="O29" s="32"/>
      <c r="P29" s="32">
        <f>SUM(P5:P26)</f>
        <v>253</v>
      </c>
      <c r="Q29" s="32"/>
      <c r="R29" s="32">
        <f>AT28</f>
        <v>163</v>
      </c>
      <c r="S29" s="48">
        <f>P29/R29</f>
        <v>1.5521472392638036</v>
      </c>
      <c r="T29" s="48"/>
      <c r="U29" s="48"/>
      <c r="V29" s="32"/>
      <c r="W29" s="48"/>
      <c r="X29" s="144"/>
      <c r="Y29" s="144">
        <f>X28+Y28</f>
        <v>19</v>
      </c>
      <c r="Z29" s="144"/>
      <c r="AA29" s="32"/>
      <c r="AB29" s="34"/>
      <c r="AC29" s="32"/>
      <c r="AD29" s="32"/>
      <c r="AE29" s="144"/>
      <c r="AF29" s="144">
        <f t="shared" ref="AF29:AF43" si="21">AC29+AE29</f>
        <v>0</v>
      </c>
      <c r="AG29" s="144"/>
      <c r="AH29" s="144"/>
      <c r="AI29" s="144"/>
      <c r="AJ29" s="421"/>
      <c r="AK29" s="421" t="str">
        <f t="shared" si="2"/>
        <v/>
      </c>
      <c r="AL29" s="73">
        <f t="shared" si="12"/>
        <v>0</v>
      </c>
      <c r="AM29" s="73">
        <f t="shared" si="13"/>
        <v>0</v>
      </c>
      <c r="AO29" s="176"/>
      <c r="AP29" s="142"/>
      <c r="AQ29" s="144"/>
      <c r="AR29" s="152">
        <f>AR28-AS28</f>
        <v>250</v>
      </c>
      <c r="AS29" s="171"/>
      <c r="AT29" s="201">
        <f>AT28-AS28</f>
        <v>160</v>
      </c>
      <c r="AV29" s="142"/>
      <c r="AW29" s="92"/>
      <c r="AX29" s="93"/>
      <c r="AY29" s="4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V29" t="s">
        <v>0</v>
      </c>
      <c r="BX29" t="s">
        <v>152</v>
      </c>
      <c r="BY29" s="63">
        <f>BY28</f>
        <v>12</v>
      </c>
      <c r="BZ29" s="64" t="s">
        <v>95</v>
      </c>
      <c r="CA29">
        <f>CA28</f>
        <v>23</v>
      </c>
      <c r="CB29" t="s">
        <v>155</v>
      </c>
      <c r="CG29">
        <f>CG28</f>
        <v>52.17</v>
      </c>
      <c r="CH29" t="str">
        <f>CH28</f>
        <v>%</v>
      </c>
      <c r="CI29" t="str">
        <f>CI28</f>
        <v xml:space="preserve"> = </v>
      </c>
      <c r="CJ29" t="str">
        <f>CG29&amp;CH29</f>
        <v>52,17%</v>
      </c>
      <c r="CK29" t="s">
        <v>153</v>
      </c>
      <c r="CL29" t="str">
        <f>BV29&amp;BX29&amp;BY29&amp;CB29&amp;BZ29&amp;CA29&amp;CI29&amp;CJ29&amp;CK29</f>
        <v xml:space="preserve">Algèbre ( 12 dossiers  / 23 = 52,17% ) </v>
      </c>
    </row>
    <row r="30" spans="1:90" ht="15" customHeight="1">
      <c r="B30" s="353">
        <f t="shared" ref="B30:B43" si="22">IF(J30=1,1,0)</f>
        <v>0</v>
      </c>
      <c r="C30" s="353">
        <f t="shared" si="9"/>
        <v>0</v>
      </c>
      <c r="D30" s="88"/>
      <c r="G30" s="156"/>
      <c r="H30" s="42"/>
      <c r="I30" s="264" t="str">
        <f>I3</f>
        <v>Méthodes et formules démontrées</v>
      </c>
      <c r="J30" s="264"/>
      <c r="K30" s="262"/>
      <c r="L30" s="262" t="s">
        <v>375</v>
      </c>
      <c r="M30" s="263"/>
      <c r="N30" s="268"/>
      <c r="O30" s="464" t="s">
        <v>380</v>
      </c>
      <c r="P30" s="462"/>
      <c r="Q30" s="463"/>
      <c r="R30" s="464" t="s">
        <v>87</v>
      </c>
      <c r="S30" s="463"/>
      <c r="T30" s="42"/>
      <c r="U30" s="42"/>
      <c r="V30" s="228" t="s">
        <v>382</v>
      </c>
      <c r="W30" s="42"/>
      <c r="X30" s="459" t="s">
        <v>291</v>
      </c>
      <c r="Y30" s="460"/>
      <c r="Z30" s="233"/>
      <c r="AA30" s="53"/>
      <c r="AB30" s="228">
        <f>AA30</f>
        <v>0</v>
      </c>
      <c r="AC30" s="228"/>
      <c r="AD30" s="228"/>
      <c r="AE30" s="152"/>
      <c r="AF30" s="152">
        <f t="shared" si="21"/>
        <v>0</v>
      </c>
      <c r="AG30" s="152"/>
      <c r="AH30" s="152"/>
      <c r="AI30" s="144"/>
      <c r="AJ30" s="421">
        <f t="shared" si="11"/>
        <v>0</v>
      </c>
      <c r="AK30" s="421" t="str">
        <f t="shared" si="2"/>
        <v/>
      </c>
      <c r="AL30" s="73">
        <f t="shared" si="12"/>
        <v>0</v>
      </c>
      <c r="AM30" s="73">
        <f t="shared" si="13"/>
        <v>0</v>
      </c>
      <c r="AO30" s="176"/>
      <c r="AP30" s="142"/>
      <c r="AQ30" s="144"/>
      <c r="AR30" s="217"/>
      <c r="AS30" s="191"/>
      <c r="AT30" s="218"/>
      <c r="AV30" s="142"/>
      <c r="AW30" s="92"/>
      <c r="AX30" s="93"/>
      <c r="AY30" s="4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</row>
    <row r="31" spans="1:90" ht="15" customHeight="1">
      <c r="B31" s="353">
        <f t="shared" si="22"/>
        <v>0</v>
      </c>
      <c r="C31" s="353">
        <f t="shared" si="9"/>
        <v>0</v>
      </c>
      <c r="D31" s="88"/>
      <c r="G31" s="28"/>
      <c r="H31" s="32"/>
      <c r="I31" s="28" t="s">
        <v>7</v>
      </c>
      <c r="J31" s="26" t="str">
        <f>J4</f>
        <v>dos</v>
      </c>
      <c r="K31" s="26"/>
      <c r="L31" s="26">
        <v>1</v>
      </c>
      <c r="M31" s="27" t="s">
        <v>470</v>
      </c>
      <c r="N31" s="26" t="s">
        <v>381</v>
      </c>
      <c r="O31" s="26" t="s">
        <v>17</v>
      </c>
      <c r="P31" s="27" t="s">
        <v>361</v>
      </c>
      <c r="Q31" s="27" t="s">
        <v>97</v>
      </c>
      <c r="R31" s="153" t="s">
        <v>27</v>
      </c>
      <c r="S31" s="154" t="s">
        <v>104</v>
      </c>
      <c r="T31" s="237"/>
      <c r="U31" s="237"/>
      <c r="V31" s="28" t="s">
        <v>138</v>
      </c>
      <c r="W31" s="237"/>
      <c r="X31" s="155" t="s">
        <v>295</v>
      </c>
      <c r="Y31" s="155" t="s">
        <v>296</v>
      </c>
      <c r="Z31" s="233"/>
      <c r="AA31" s="32"/>
      <c r="AB31" s="28" t="s">
        <v>17</v>
      </c>
      <c r="AC31" s="28"/>
      <c r="AD31" s="28"/>
      <c r="AE31" s="152"/>
      <c r="AF31" s="152">
        <f t="shared" si="21"/>
        <v>0</v>
      </c>
      <c r="AG31" s="152"/>
      <c r="AH31" s="152"/>
      <c r="AI31" s="144"/>
      <c r="AJ31" s="421" t="str">
        <f t="shared" si="11"/>
        <v xml:space="preserve"> %</v>
      </c>
      <c r="AK31" s="421" t="str">
        <f t="shared" si="2"/>
        <v xml:space="preserve"> %</v>
      </c>
      <c r="AL31" s="73">
        <f t="shared" si="12"/>
        <v>1</v>
      </c>
      <c r="AM31" s="73">
        <f t="shared" si="13"/>
        <v>1</v>
      </c>
      <c r="AO31" s="175"/>
      <c r="AP31" s="140"/>
      <c r="AQ31" s="147"/>
      <c r="AR31" s="145"/>
      <c r="AS31" s="198"/>
      <c r="AT31" s="138"/>
      <c r="AV31" s="142"/>
      <c r="AW31" s="92"/>
      <c r="AX31" s="93"/>
      <c r="AY31" s="4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Z31" s="64"/>
    </row>
    <row r="32" spans="1:90" ht="15" customHeight="1">
      <c r="B32" s="353">
        <f t="shared" si="22"/>
        <v>0</v>
      </c>
      <c r="C32" s="353">
        <f t="shared" si="9"/>
        <v>1</v>
      </c>
      <c r="D32" s="88"/>
      <c r="G32" s="86">
        <v>1</v>
      </c>
      <c r="H32" s="272"/>
      <c r="I32" s="76" t="s">
        <v>9</v>
      </c>
      <c r="J32" s="86" t="s">
        <v>21</v>
      </c>
      <c r="K32" s="86"/>
      <c r="L32" s="73"/>
      <c r="M32" s="73"/>
      <c r="N32" s="73"/>
      <c r="O32" s="73"/>
      <c r="P32" s="73">
        <v>4</v>
      </c>
      <c r="Q32" s="73"/>
      <c r="R32" s="73">
        <v>33</v>
      </c>
      <c r="S32" s="77">
        <f t="shared" ref="S32:S42" si="23">IF(R32=0,"",P32/R32)</f>
        <v>0.12121212121212122</v>
      </c>
      <c r="T32" s="48"/>
      <c r="U32" s="48"/>
      <c r="V32" s="73"/>
      <c r="W32" s="48"/>
      <c r="X32" s="142"/>
      <c r="Y32" s="142"/>
      <c r="Z32" s="142"/>
      <c r="AA32" s="32"/>
      <c r="AB32" s="73"/>
      <c r="AC32" s="73"/>
      <c r="AD32" s="73"/>
      <c r="AE32" s="142">
        <f>V32</f>
        <v>0</v>
      </c>
      <c r="AF32" s="142">
        <f t="shared" si="21"/>
        <v>0</v>
      </c>
      <c r="AG32" s="142"/>
      <c r="AH32" s="142"/>
      <c r="AI32" s="144"/>
      <c r="AJ32" s="421">
        <f t="shared" si="11"/>
        <v>0.12121212121212122</v>
      </c>
      <c r="AK32" s="421" t="str">
        <f t="shared" si="2"/>
        <v/>
      </c>
      <c r="AL32" s="73">
        <f t="shared" si="12"/>
        <v>0</v>
      </c>
      <c r="AM32" s="73">
        <f t="shared" si="13"/>
        <v>1</v>
      </c>
      <c r="AO32" s="176"/>
      <c r="AP32" s="142"/>
      <c r="AQ32" s="144"/>
      <c r="AR32" s="142">
        <f t="shared" ref="AR32:AR43" si="24">P32</f>
        <v>4</v>
      </c>
      <c r="AS32" s="170">
        <f t="shared" ref="AS32:AS43" si="25">X32</f>
        <v>0</v>
      </c>
      <c r="AT32" s="142">
        <f t="shared" ref="AT32:AT43" si="26">R32</f>
        <v>33</v>
      </c>
      <c r="AV32" s="142"/>
      <c r="AW32" s="92">
        <f t="shared" ref="AW32:AW43" si="27">P32</f>
        <v>4</v>
      </c>
      <c r="AX32" s="93">
        <f t="shared" ref="AX32:AX43" si="28">R32</f>
        <v>33</v>
      </c>
      <c r="AY32" s="4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Z32" s="64"/>
    </row>
    <row r="33" spans="1:90" ht="15" customHeight="1">
      <c r="B33" s="353">
        <f t="shared" si="22"/>
        <v>1</v>
      </c>
      <c r="C33" s="353">
        <f t="shared" si="9"/>
        <v>1</v>
      </c>
      <c r="D33" s="88">
        <v>1</v>
      </c>
      <c r="G33" s="73">
        <v>1</v>
      </c>
      <c r="H33" s="32"/>
      <c r="I33" s="76" t="s">
        <v>26</v>
      </c>
      <c r="J33" s="73">
        <v>1</v>
      </c>
      <c r="K33" s="73"/>
      <c r="L33" s="73"/>
      <c r="M33" s="73"/>
      <c r="N33" s="73"/>
      <c r="O33" s="73"/>
      <c r="P33" s="73">
        <v>7</v>
      </c>
      <c r="Q33" s="73"/>
      <c r="R33" s="73">
        <v>7</v>
      </c>
      <c r="S33" s="77">
        <f t="shared" si="23"/>
        <v>1</v>
      </c>
      <c r="T33" s="48"/>
      <c r="U33" s="48"/>
      <c r="V33" s="73"/>
      <c r="W33" s="48"/>
      <c r="X33" s="142"/>
      <c r="Y33" s="142"/>
      <c r="Z33" s="142"/>
      <c r="AA33" s="32"/>
      <c r="AB33" s="73">
        <v>4</v>
      </c>
      <c r="AC33" s="73"/>
      <c r="AD33" s="73"/>
      <c r="AE33" s="142">
        <f t="shared" ref="AE33:AE43" si="29">V33</f>
        <v>0</v>
      </c>
      <c r="AF33" s="142">
        <f t="shared" si="21"/>
        <v>0</v>
      </c>
      <c r="AG33" s="142"/>
      <c r="AH33" s="142"/>
      <c r="AI33" s="144"/>
      <c r="AJ33" s="421">
        <f t="shared" si="11"/>
        <v>1</v>
      </c>
      <c r="AK33" s="421" t="str">
        <f t="shared" si="2"/>
        <v/>
      </c>
      <c r="AL33" s="73">
        <f t="shared" si="12"/>
        <v>0</v>
      </c>
      <c r="AM33" s="73">
        <f t="shared" si="13"/>
        <v>1</v>
      </c>
      <c r="AO33" s="176"/>
      <c r="AP33" s="142"/>
      <c r="AQ33" s="144"/>
      <c r="AR33" s="142">
        <f t="shared" si="24"/>
        <v>7</v>
      </c>
      <c r="AS33" s="170">
        <f t="shared" si="25"/>
        <v>0</v>
      </c>
      <c r="AT33" s="142">
        <f t="shared" si="26"/>
        <v>7</v>
      </c>
      <c r="AV33" s="142"/>
      <c r="AW33" s="92">
        <f t="shared" si="27"/>
        <v>7</v>
      </c>
      <c r="AX33" s="93">
        <f t="shared" si="28"/>
        <v>7</v>
      </c>
      <c r="AY33" s="4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Z33" s="64"/>
    </row>
    <row r="34" spans="1:90" ht="15" customHeight="1">
      <c r="B34" s="353">
        <f t="shared" si="22"/>
        <v>0</v>
      </c>
      <c r="C34" s="353">
        <f t="shared" si="9"/>
        <v>0</v>
      </c>
      <c r="D34" s="88">
        <f>D33</f>
        <v>1</v>
      </c>
      <c r="G34" s="73"/>
      <c r="H34" s="32"/>
      <c r="I34" s="79" t="s">
        <v>39</v>
      </c>
      <c r="J34" s="73"/>
      <c r="K34" s="73"/>
      <c r="L34" s="73"/>
      <c r="M34" s="73"/>
      <c r="N34" s="73"/>
      <c r="O34" s="73"/>
      <c r="P34" s="73">
        <v>28</v>
      </c>
      <c r="Q34" s="73"/>
      <c r="R34" s="73"/>
      <c r="S34" s="77" t="str">
        <f t="shared" si="23"/>
        <v/>
      </c>
      <c r="T34" s="48"/>
      <c r="U34" s="48"/>
      <c r="V34" s="73"/>
      <c r="W34" s="48"/>
      <c r="X34" s="142"/>
      <c r="Y34" s="142"/>
      <c r="Z34" s="142"/>
      <c r="AA34" s="32"/>
      <c r="AB34" s="73"/>
      <c r="AC34" s="73"/>
      <c r="AD34" s="73"/>
      <c r="AE34" s="142">
        <f t="shared" si="29"/>
        <v>0</v>
      </c>
      <c r="AF34" s="142">
        <f t="shared" si="21"/>
        <v>0</v>
      </c>
      <c r="AG34" s="142"/>
      <c r="AH34" s="142"/>
      <c r="AI34" s="144"/>
      <c r="AJ34" s="421" t="str">
        <f t="shared" si="11"/>
        <v/>
      </c>
      <c r="AK34" s="421" t="str">
        <f t="shared" si="2"/>
        <v/>
      </c>
      <c r="AL34" s="73">
        <f t="shared" si="12"/>
        <v>1</v>
      </c>
      <c r="AM34" s="73">
        <f t="shared" si="13"/>
        <v>1</v>
      </c>
      <c r="AO34" s="176"/>
      <c r="AP34" s="142"/>
      <c r="AQ34" s="144"/>
      <c r="AR34" s="142">
        <f t="shared" si="24"/>
        <v>28</v>
      </c>
      <c r="AS34" s="170">
        <f t="shared" si="25"/>
        <v>0</v>
      </c>
      <c r="AT34" s="142">
        <f t="shared" si="26"/>
        <v>0</v>
      </c>
      <c r="AV34" s="142"/>
      <c r="AW34" s="92">
        <f t="shared" si="27"/>
        <v>28</v>
      </c>
      <c r="AX34" s="93">
        <f t="shared" si="28"/>
        <v>0</v>
      </c>
      <c r="AY34" s="4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Z34" s="64"/>
    </row>
    <row r="35" spans="1:90" ht="15" customHeight="1">
      <c r="B35" s="353">
        <f t="shared" si="22"/>
        <v>1</v>
      </c>
      <c r="C35" s="353">
        <f t="shared" si="9"/>
        <v>1</v>
      </c>
      <c r="D35" s="88">
        <f t="shared" ref="D35:D43" si="30">D34</f>
        <v>1</v>
      </c>
      <c r="G35" s="73">
        <v>1</v>
      </c>
      <c r="H35" s="32"/>
      <c r="I35" s="76" t="s">
        <v>103</v>
      </c>
      <c r="J35" s="73">
        <v>1</v>
      </c>
      <c r="K35" s="73"/>
      <c r="L35" s="73">
        <v>1</v>
      </c>
      <c r="M35" s="73"/>
      <c r="N35" s="73">
        <v>1</v>
      </c>
      <c r="O35" s="73">
        <v>5</v>
      </c>
      <c r="P35" s="73">
        <v>106</v>
      </c>
      <c r="Q35" s="73">
        <v>-1</v>
      </c>
      <c r="R35" s="73">
        <v>57</v>
      </c>
      <c r="S35" s="77">
        <f t="shared" si="23"/>
        <v>1.8596491228070176</v>
      </c>
      <c r="T35" s="48"/>
      <c r="U35" s="48"/>
      <c r="V35" s="73"/>
      <c r="W35" s="48"/>
      <c r="X35" s="142"/>
      <c r="Y35" s="142">
        <v>2</v>
      </c>
      <c r="Z35" s="142"/>
      <c r="AA35" s="32"/>
      <c r="AB35" s="73">
        <v>9</v>
      </c>
      <c r="AC35" s="73"/>
      <c r="AD35" s="73"/>
      <c r="AE35" s="142">
        <f t="shared" si="29"/>
        <v>0</v>
      </c>
      <c r="AF35" s="142">
        <f t="shared" si="21"/>
        <v>0</v>
      </c>
      <c r="AG35" s="142"/>
      <c r="AH35" s="142"/>
      <c r="AI35" s="144"/>
      <c r="AJ35" s="421">
        <f t="shared" si="11"/>
        <v>1.8596491228070176</v>
      </c>
      <c r="AK35" s="421">
        <f t="shared" si="2"/>
        <v>1.8596491228070176</v>
      </c>
      <c r="AL35" s="73">
        <f t="shared" si="12"/>
        <v>1</v>
      </c>
      <c r="AM35" s="73">
        <f t="shared" si="13"/>
        <v>1</v>
      </c>
      <c r="AO35" s="176">
        <v>2</v>
      </c>
      <c r="AP35" s="142">
        <v>2</v>
      </c>
      <c r="AQ35" s="144"/>
      <c r="AR35" s="142">
        <f t="shared" si="24"/>
        <v>106</v>
      </c>
      <c r="AS35" s="170">
        <f t="shared" si="25"/>
        <v>0</v>
      </c>
      <c r="AT35" s="142">
        <f t="shared" si="26"/>
        <v>57</v>
      </c>
      <c r="AV35" s="142"/>
      <c r="AW35" s="92">
        <f t="shared" si="27"/>
        <v>106</v>
      </c>
      <c r="AX35" s="93">
        <f t="shared" si="28"/>
        <v>57</v>
      </c>
      <c r="AY35" s="4">
        <v>2</v>
      </c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Z35" s="64"/>
    </row>
    <row r="36" spans="1:90" ht="15" customHeight="1">
      <c r="B36" s="353">
        <f t="shared" si="22"/>
        <v>1</v>
      </c>
      <c r="C36" s="353">
        <f t="shared" si="9"/>
        <v>1</v>
      </c>
      <c r="D36" s="88">
        <v>1</v>
      </c>
      <c r="G36" s="73">
        <v>1</v>
      </c>
      <c r="H36" s="32"/>
      <c r="I36" s="76" t="s">
        <v>354</v>
      </c>
      <c r="J36" s="73">
        <v>1</v>
      </c>
      <c r="K36" s="73"/>
      <c r="L36" s="73"/>
      <c r="M36" s="73"/>
      <c r="N36" s="73"/>
      <c r="O36" s="73">
        <v>1</v>
      </c>
      <c r="P36" s="73">
        <v>34</v>
      </c>
      <c r="Q36" s="73"/>
      <c r="R36" s="73">
        <v>34</v>
      </c>
      <c r="S36" s="77">
        <f t="shared" si="23"/>
        <v>1</v>
      </c>
      <c r="T36" s="48"/>
      <c r="U36" s="48"/>
      <c r="V36" s="73">
        <v>25</v>
      </c>
      <c r="W36" s="48"/>
      <c r="X36" s="142"/>
      <c r="Y36" s="142"/>
      <c r="Z36" s="142"/>
      <c r="AA36" s="32"/>
      <c r="AB36" s="73">
        <v>25</v>
      </c>
      <c r="AC36" s="73"/>
      <c r="AD36" s="73"/>
      <c r="AE36" s="142">
        <f t="shared" si="29"/>
        <v>25</v>
      </c>
      <c r="AF36" s="142">
        <f t="shared" si="21"/>
        <v>25</v>
      </c>
      <c r="AG36" s="142"/>
      <c r="AH36" s="142"/>
      <c r="AI36" s="144"/>
      <c r="AJ36" s="421">
        <f t="shared" si="11"/>
        <v>1</v>
      </c>
      <c r="AK36" s="421" t="str">
        <f t="shared" si="2"/>
        <v/>
      </c>
      <c r="AL36" s="73">
        <f t="shared" si="12"/>
        <v>0</v>
      </c>
      <c r="AM36" s="73">
        <f t="shared" si="13"/>
        <v>1</v>
      </c>
      <c r="AO36" s="176"/>
      <c r="AP36" s="142"/>
      <c r="AQ36" s="144"/>
      <c r="AR36" s="142">
        <f t="shared" si="24"/>
        <v>34</v>
      </c>
      <c r="AS36" s="170">
        <f t="shared" si="25"/>
        <v>0</v>
      </c>
      <c r="AT36" s="142">
        <f t="shared" si="26"/>
        <v>34</v>
      </c>
      <c r="AV36" s="142"/>
      <c r="AW36" s="92">
        <f t="shared" si="27"/>
        <v>34</v>
      </c>
      <c r="AX36" s="93">
        <f t="shared" si="28"/>
        <v>34</v>
      </c>
      <c r="AY36" s="4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Z36" s="64"/>
    </row>
    <row r="37" spans="1:90" ht="15" customHeight="1">
      <c r="B37" s="353">
        <f t="shared" si="22"/>
        <v>0</v>
      </c>
      <c r="C37" s="353">
        <f t="shared" si="9"/>
        <v>0</v>
      </c>
      <c r="D37" s="88">
        <f>D35</f>
        <v>1</v>
      </c>
      <c r="G37" s="73"/>
      <c r="H37" s="32"/>
      <c r="I37" s="76" t="s">
        <v>156</v>
      </c>
      <c r="J37" s="73"/>
      <c r="K37" s="73"/>
      <c r="L37" s="73"/>
      <c r="M37" s="73"/>
      <c r="N37" s="73"/>
      <c r="O37" s="73"/>
      <c r="P37" s="73">
        <v>12</v>
      </c>
      <c r="Q37" s="73"/>
      <c r="R37" s="73">
        <v>12</v>
      </c>
      <c r="S37" s="77">
        <f t="shared" si="23"/>
        <v>1</v>
      </c>
      <c r="T37" s="48"/>
      <c r="U37" s="48"/>
      <c r="V37" s="73"/>
      <c r="W37" s="48"/>
      <c r="X37" s="142"/>
      <c r="Y37" s="142"/>
      <c r="Z37" s="142"/>
      <c r="AA37" s="32"/>
      <c r="AB37" s="73"/>
      <c r="AC37" s="73"/>
      <c r="AD37" s="73"/>
      <c r="AE37" s="142">
        <f t="shared" si="29"/>
        <v>0</v>
      </c>
      <c r="AF37" s="142">
        <f t="shared" si="21"/>
        <v>0</v>
      </c>
      <c r="AG37" s="142"/>
      <c r="AH37" s="142"/>
      <c r="AI37" s="144"/>
      <c r="AJ37" s="421">
        <f t="shared" si="11"/>
        <v>1</v>
      </c>
      <c r="AK37" s="421" t="str">
        <f t="shared" ref="AK37:AK68" si="31">IF(AL37=1,AJ37,"")</f>
        <v/>
      </c>
      <c r="AL37" s="73">
        <f t="shared" si="12"/>
        <v>0</v>
      </c>
      <c r="AM37" s="73">
        <f t="shared" si="13"/>
        <v>1</v>
      </c>
      <c r="AO37" s="176"/>
      <c r="AP37" s="142"/>
      <c r="AQ37" s="144"/>
      <c r="AR37" s="142">
        <f t="shared" si="24"/>
        <v>12</v>
      </c>
      <c r="AS37" s="170">
        <f t="shared" si="25"/>
        <v>0</v>
      </c>
      <c r="AT37" s="142">
        <f t="shared" si="26"/>
        <v>12</v>
      </c>
      <c r="AV37" s="142"/>
      <c r="AW37" s="92">
        <f t="shared" si="27"/>
        <v>12</v>
      </c>
      <c r="AX37" s="93">
        <f t="shared" si="28"/>
        <v>12</v>
      </c>
      <c r="AY37" s="4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Z37" s="64"/>
    </row>
    <row r="38" spans="1:90" ht="15" customHeight="1">
      <c r="B38" s="353">
        <f t="shared" si="22"/>
        <v>0</v>
      </c>
      <c r="C38" s="353">
        <f t="shared" si="9"/>
        <v>0</v>
      </c>
      <c r="D38" s="88">
        <f t="shared" si="30"/>
        <v>1</v>
      </c>
      <c r="G38" s="73"/>
      <c r="H38" s="32"/>
      <c r="I38" s="76" t="s">
        <v>25</v>
      </c>
      <c r="J38" s="73"/>
      <c r="K38" s="73"/>
      <c r="L38" s="73"/>
      <c r="M38" s="73"/>
      <c r="N38" s="73"/>
      <c r="O38" s="73"/>
      <c r="P38" s="73">
        <v>1</v>
      </c>
      <c r="Q38" s="73"/>
      <c r="R38" s="73">
        <v>14</v>
      </c>
      <c r="S38" s="77">
        <f t="shared" si="23"/>
        <v>7.1428571428571425E-2</v>
      </c>
      <c r="T38" s="48"/>
      <c r="U38" s="48"/>
      <c r="V38" s="73"/>
      <c r="W38" s="48"/>
      <c r="X38" s="142"/>
      <c r="Y38" s="142"/>
      <c r="Z38" s="142"/>
      <c r="AA38" s="32"/>
      <c r="AB38" s="73"/>
      <c r="AC38" s="73"/>
      <c r="AD38" s="73"/>
      <c r="AE38" s="142">
        <f t="shared" si="29"/>
        <v>0</v>
      </c>
      <c r="AF38" s="142">
        <f t="shared" si="21"/>
        <v>0</v>
      </c>
      <c r="AG38" s="142"/>
      <c r="AH38" s="142"/>
      <c r="AI38" s="144"/>
      <c r="AJ38" s="421">
        <f t="shared" si="11"/>
        <v>7.1428571428571425E-2</v>
      </c>
      <c r="AK38" s="421" t="str">
        <f t="shared" si="31"/>
        <v/>
      </c>
      <c r="AL38" s="73">
        <f t="shared" si="12"/>
        <v>0</v>
      </c>
      <c r="AM38" s="73">
        <f t="shared" si="13"/>
        <v>1</v>
      </c>
      <c r="AO38" s="176"/>
      <c r="AP38" s="142"/>
      <c r="AQ38" s="144"/>
      <c r="AR38" s="142">
        <f t="shared" si="24"/>
        <v>1</v>
      </c>
      <c r="AS38" s="170">
        <f t="shared" si="25"/>
        <v>0</v>
      </c>
      <c r="AT38" s="142">
        <f t="shared" si="26"/>
        <v>14</v>
      </c>
      <c r="AV38" s="142"/>
      <c r="AW38" s="92">
        <f t="shared" si="27"/>
        <v>1</v>
      </c>
      <c r="AX38" s="93">
        <f t="shared" si="28"/>
        <v>14</v>
      </c>
      <c r="AY38" s="4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Z38" s="64"/>
    </row>
    <row r="39" spans="1:90" ht="15" customHeight="1">
      <c r="B39" s="353">
        <f t="shared" si="22"/>
        <v>0</v>
      </c>
      <c r="C39" s="353">
        <f t="shared" si="9"/>
        <v>1</v>
      </c>
      <c r="D39" s="88">
        <f t="shared" si="30"/>
        <v>1</v>
      </c>
      <c r="G39" s="73"/>
      <c r="H39" s="32"/>
      <c r="I39" s="349" t="s">
        <v>469</v>
      </c>
      <c r="J39" s="73" t="s">
        <v>21</v>
      </c>
      <c r="K39" s="73"/>
      <c r="L39" s="73"/>
      <c r="M39" s="73"/>
      <c r="N39" s="73">
        <v>0</v>
      </c>
      <c r="O39" s="73">
        <v>0</v>
      </c>
      <c r="P39" s="73">
        <v>23</v>
      </c>
      <c r="Q39" s="73">
        <v>12</v>
      </c>
      <c r="R39" s="73">
        <v>27</v>
      </c>
      <c r="S39" s="77">
        <f t="shared" si="23"/>
        <v>0.85185185185185186</v>
      </c>
      <c r="T39" s="48"/>
      <c r="U39" s="48"/>
      <c r="V39" s="73"/>
      <c r="W39" s="48"/>
      <c r="X39" s="142"/>
      <c r="Y39" s="142"/>
      <c r="Z39" s="142"/>
      <c r="AA39" s="32"/>
      <c r="AB39" s="73"/>
      <c r="AC39" s="73"/>
      <c r="AD39" s="73"/>
      <c r="AE39" s="142">
        <v>12</v>
      </c>
      <c r="AF39" s="142">
        <f t="shared" si="21"/>
        <v>12</v>
      </c>
      <c r="AG39" s="142"/>
      <c r="AH39" s="142"/>
      <c r="AI39" s="144"/>
      <c r="AJ39" s="421">
        <f t="shared" si="11"/>
        <v>0.85185185185185186</v>
      </c>
      <c r="AK39" s="421" t="str">
        <f t="shared" si="31"/>
        <v/>
      </c>
      <c r="AL39" s="73">
        <f t="shared" si="12"/>
        <v>0</v>
      </c>
      <c r="AM39" s="73">
        <f t="shared" si="13"/>
        <v>1</v>
      </c>
      <c r="AO39" s="176"/>
      <c r="AP39" s="142"/>
      <c r="AQ39" s="144"/>
      <c r="AR39" s="142">
        <f t="shared" si="24"/>
        <v>23</v>
      </c>
      <c r="AS39" s="170">
        <f t="shared" si="25"/>
        <v>0</v>
      </c>
      <c r="AT39" s="142">
        <f t="shared" si="26"/>
        <v>27</v>
      </c>
      <c r="AV39" s="142"/>
      <c r="AW39" s="92">
        <f t="shared" si="27"/>
        <v>23</v>
      </c>
      <c r="AX39" s="93">
        <f t="shared" si="28"/>
        <v>27</v>
      </c>
      <c r="AY39" s="4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Z39" s="64"/>
    </row>
    <row r="40" spans="1:90" ht="15" customHeight="1">
      <c r="B40" s="353">
        <f t="shared" si="22"/>
        <v>0</v>
      </c>
      <c r="C40" s="353">
        <f t="shared" si="9"/>
        <v>0</v>
      </c>
      <c r="D40" s="88">
        <f t="shared" si="30"/>
        <v>1</v>
      </c>
      <c r="G40" s="73"/>
      <c r="H40" s="32"/>
      <c r="I40" s="76" t="s">
        <v>40</v>
      </c>
      <c r="J40" s="73"/>
      <c r="K40" s="73"/>
      <c r="L40" s="73"/>
      <c r="M40" s="73"/>
      <c r="N40" s="73"/>
      <c r="O40" s="73"/>
      <c r="P40" s="73"/>
      <c r="Q40" s="73"/>
      <c r="R40" s="73">
        <v>55</v>
      </c>
      <c r="S40" s="77">
        <f t="shared" si="23"/>
        <v>0</v>
      </c>
      <c r="T40" s="48"/>
      <c r="U40" s="48"/>
      <c r="V40" s="73"/>
      <c r="W40" s="48"/>
      <c r="X40" s="142"/>
      <c r="Y40" s="142"/>
      <c r="Z40" s="142"/>
      <c r="AA40" s="32"/>
      <c r="AB40" s="73"/>
      <c r="AC40" s="73"/>
      <c r="AD40" s="73"/>
      <c r="AE40" s="142">
        <f t="shared" si="29"/>
        <v>0</v>
      </c>
      <c r="AF40" s="142">
        <f t="shared" si="21"/>
        <v>0</v>
      </c>
      <c r="AG40" s="142"/>
      <c r="AH40" s="142"/>
      <c r="AI40" s="144"/>
      <c r="AJ40" s="421">
        <f t="shared" si="11"/>
        <v>0</v>
      </c>
      <c r="AK40" s="421" t="str">
        <f t="shared" si="31"/>
        <v/>
      </c>
      <c r="AL40" s="73">
        <f t="shared" si="12"/>
        <v>0</v>
      </c>
      <c r="AM40" s="73">
        <f t="shared" si="13"/>
        <v>0</v>
      </c>
      <c r="AO40" s="176"/>
      <c r="AP40" s="142"/>
      <c r="AQ40" s="144"/>
      <c r="AR40" s="142">
        <f t="shared" si="24"/>
        <v>0</v>
      </c>
      <c r="AS40" s="170">
        <f t="shared" si="25"/>
        <v>0</v>
      </c>
      <c r="AT40" s="142">
        <f t="shared" si="26"/>
        <v>55</v>
      </c>
      <c r="AV40" s="142"/>
      <c r="AW40" s="92">
        <f t="shared" si="27"/>
        <v>0</v>
      </c>
      <c r="AX40" s="93">
        <f t="shared" si="28"/>
        <v>55</v>
      </c>
      <c r="AY40" s="4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Z40" s="64"/>
    </row>
    <row r="41" spans="1:90" ht="15" customHeight="1">
      <c r="B41" s="353">
        <f t="shared" si="22"/>
        <v>0</v>
      </c>
      <c r="C41" s="353">
        <f t="shared" si="9"/>
        <v>1</v>
      </c>
      <c r="D41" s="88">
        <f t="shared" si="30"/>
        <v>1</v>
      </c>
      <c r="G41" s="86">
        <v>1</v>
      </c>
      <c r="H41" s="272"/>
      <c r="I41" s="76" t="s">
        <v>41</v>
      </c>
      <c r="J41" s="86" t="s">
        <v>21</v>
      </c>
      <c r="K41" s="86"/>
      <c r="L41" s="73"/>
      <c r="M41" s="73"/>
      <c r="N41" s="73"/>
      <c r="O41" s="73">
        <v>2</v>
      </c>
      <c r="P41" s="73">
        <v>5</v>
      </c>
      <c r="Q41" s="73"/>
      <c r="R41" s="73">
        <v>16</v>
      </c>
      <c r="S41" s="77">
        <f t="shared" si="23"/>
        <v>0.3125</v>
      </c>
      <c r="T41" s="48"/>
      <c r="U41" s="48"/>
      <c r="V41" s="73"/>
      <c r="W41" s="48"/>
      <c r="X41" s="142"/>
      <c r="Y41" s="142"/>
      <c r="Z41" s="142"/>
      <c r="AA41" s="32"/>
      <c r="AB41" s="73">
        <v>2</v>
      </c>
      <c r="AC41" s="73"/>
      <c r="AD41" s="73"/>
      <c r="AE41" s="142">
        <f t="shared" si="29"/>
        <v>0</v>
      </c>
      <c r="AF41" s="142">
        <f t="shared" si="21"/>
        <v>0</v>
      </c>
      <c r="AG41" s="142"/>
      <c r="AH41" s="142"/>
      <c r="AI41" s="144"/>
      <c r="AJ41" s="421">
        <f t="shared" si="11"/>
        <v>0.3125</v>
      </c>
      <c r="AK41" s="421" t="str">
        <f t="shared" si="31"/>
        <v/>
      </c>
      <c r="AL41" s="73">
        <f t="shared" si="12"/>
        <v>0</v>
      </c>
      <c r="AM41" s="73">
        <f t="shared" si="13"/>
        <v>1</v>
      </c>
      <c r="AO41" s="176"/>
      <c r="AP41" s="142"/>
      <c r="AQ41" s="144"/>
      <c r="AR41" s="142">
        <f t="shared" si="24"/>
        <v>5</v>
      </c>
      <c r="AS41" s="170">
        <f t="shared" si="25"/>
        <v>0</v>
      </c>
      <c r="AT41" s="142">
        <f t="shared" si="26"/>
        <v>16</v>
      </c>
      <c r="AV41" s="142"/>
      <c r="AW41" s="92">
        <f t="shared" si="27"/>
        <v>5</v>
      </c>
      <c r="AX41" s="93">
        <f t="shared" si="28"/>
        <v>16</v>
      </c>
      <c r="AY41" s="4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Z41" s="64"/>
    </row>
    <row r="42" spans="1:90" ht="15" customHeight="1">
      <c r="B42" s="353">
        <f t="shared" si="22"/>
        <v>0</v>
      </c>
      <c r="C42" s="353">
        <f t="shared" si="9"/>
        <v>0</v>
      </c>
      <c r="D42" s="88">
        <f t="shared" si="30"/>
        <v>1</v>
      </c>
      <c r="G42" s="73"/>
      <c r="H42" s="32"/>
      <c r="I42" s="76" t="s">
        <v>43</v>
      </c>
      <c r="J42" s="73"/>
      <c r="K42" s="73"/>
      <c r="L42" s="73"/>
      <c r="M42" s="73"/>
      <c r="N42" s="73"/>
      <c r="O42" s="73"/>
      <c r="P42" s="73"/>
      <c r="Q42" s="73"/>
      <c r="R42" s="73">
        <v>42</v>
      </c>
      <c r="S42" s="77">
        <f t="shared" si="23"/>
        <v>0</v>
      </c>
      <c r="T42" s="48"/>
      <c r="U42" s="48"/>
      <c r="V42" s="73"/>
      <c r="W42" s="48"/>
      <c r="X42" s="142"/>
      <c r="Y42" s="142"/>
      <c r="Z42" s="142"/>
      <c r="AA42" s="32"/>
      <c r="AB42" s="73"/>
      <c r="AC42" s="73"/>
      <c r="AD42" s="73"/>
      <c r="AE42" s="142">
        <f t="shared" si="29"/>
        <v>0</v>
      </c>
      <c r="AF42" s="142">
        <f t="shared" si="21"/>
        <v>0</v>
      </c>
      <c r="AG42" s="142"/>
      <c r="AH42" s="142"/>
      <c r="AI42" s="144"/>
      <c r="AJ42" s="421">
        <f t="shared" si="11"/>
        <v>0</v>
      </c>
      <c r="AK42" s="421" t="str">
        <f t="shared" si="31"/>
        <v/>
      </c>
      <c r="AL42" s="73">
        <f t="shared" si="12"/>
        <v>0</v>
      </c>
      <c r="AM42" s="73">
        <f t="shared" si="13"/>
        <v>0</v>
      </c>
      <c r="AO42" s="176"/>
      <c r="AP42" s="142"/>
      <c r="AQ42" s="144"/>
      <c r="AR42" s="142">
        <f t="shared" si="24"/>
        <v>0</v>
      </c>
      <c r="AS42" s="170">
        <f t="shared" si="25"/>
        <v>0</v>
      </c>
      <c r="AT42" s="142">
        <f t="shared" si="26"/>
        <v>42</v>
      </c>
      <c r="AV42" s="142"/>
      <c r="AW42" s="92">
        <f t="shared" si="27"/>
        <v>0</v>
      </c>
      <c r="AX42" s="93">
        <f t="shared" si="28"/>
        <v>42</v>
      </c>
      <c r="AY42" s="4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Z42" s="64"/>
    </row>
    <row r="43" spans="1:90" ht="15" customHeight="1">
      <c r="B43" s="353">
        <f t="shared" si="22"/>
        <v>0</v>
      </c>
      <c r="C43" s="353">
        <f t="shared" si="9"/>
        <v>0</v>
      </c>
      <c r="D43" s="88">
        <f t="shared" si="30"/>
        <v>1</v>
      </c>
      <c r="G43" s="73"/>
      <c r="H43" s="32"/>
      <c r="I43" s="76"/>
      <c r="J43" s="73"/>
      <c r="K43" s="73"/>
      <c r="L43" s="73"/>
      <c r="M43" s="73"/>
      <c r="N43" s="73"/>
      <c r="O43" s="73"/>
      <c r="P43" s="73"/>
      <c r="Q43" s="73"/>
      <c r="R43" s="73"/>
      <c r="S43" s="77"/>
      <c r="T43" s="48"/>
      <c r="U43" s="48"/>
      <c r="V43" s="73"/>
      <c r="W43" s="48"/>
      <c r="X43" s="142"/>
      <c r="Y43" s="142"/>
      <c r="Z43" s="142"/>
      <c r="AA43" s="32"/>
      <c r="AB43" s="73"/>
      <c r="AC43" s="73"/>
      <c r="AD43" s="73"/>
      <c r="AE43" s="142">
        <f t="shared" si="29"/>
        <v>0</v>
      </c>
      <c r="AF43" s="142">
        <f t="shared" si="21"/>
        <v>0</v>
      </c>
      <c r="AG43" s="142"/>
      <c r="AH43" s="142"/>
      <c r="AI43" s="144"/>
      <c r="AJ43" s="421">
        <f t="shared" si="11"/>
        <v>0</v>
      </c>
      <c r="AK43" s="421" t="str">
        <f t="shared" si="31"/>
        <v/>
      </c>
      <c r="AL43" s="73">
        <f t="shared" si="12"/>
        <v>0</v>
      </c>
      <c r="AM43" s="73">
        <f t="shared" si="13"/>
        <v>0</v>
      </c>
      <c r="AO43" s="176"/>
      <c r="AP43" s="142"/>
      <c r="AQ43" s="144"/>
      <c r="AR43" s="142">
        <f t="shared" si="24"/>
        <v>0</v>
      </c>
      <c r="AS43" s="170">
        <f t="shared" si="25"/>
        <v>0</v>
      </c>
      <c r="AT43" s="142">
        <f t="shared" si="26"/>
        <v>0</v>
      </c>
      <c r="AV43" s="142"/>
      <c r="AW43" s="92">
        <f t="shared" si="27"/>
        <v>0</v>
      </c>
      <c r="AX43" s="93">
        <f t="shared" si="28"/>
        <v>0</v>
      </c>
      <c r="AY43" s="4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Z43" s="64"/>
    </row>
    <row r="44" spans="1:90" ht="15" customHeight="1">
      <c r="C44" s="353">
        <f t="shared" si="9"/>
        <v>0</v>
      </c>
      <c r="D44" s="88"/>
      <c r="G44" s="28">
        <f>SUM(G32:G43)</f>
        <v>5</v>
      </c>
      <c r="H44" s="32"/>
      <c r="I44" s="25" t="str">
        <f>CL44</f>
        <v>nombre de dossiers = 3 / 11 = 27,27%</v>
      </c>
      <c r="J44" s="80">
        <f>B45</f>
        <v>3</v>
      </c>
      <c r="K44" s="80"/>
      <c r="L44" s="26">
        <f>SUM(L32:L43)</f>
        <v>1</v>
      </c>
      <c r="M44" s="26">
        <f t="shared" ref="M44" si="32">SUM(M32:M43)</f>
        <v>0</v>
      </c>
      <c r="N44" s="26">
        <f t="shared" ref="N44" si="33">SUM(N32:N43)</f>
        <v>1</v>
      </c>
      <c r="O44" s="26">
        <f>SUM(O32:O43)</f>
        <v>8</v>
      </c>
      <c r="P44" s="27">
        <f>AR45</f>
        <v>220</v>
      </c>
      <c r="Q44" s="27">
        <f>SUM(Q32:Q43)</f>
        <v>11</v>
      </c>
      <c r="R44" s="263">
        <f>AT45</f>
        <v>297</v>
      </c>
      <c r="S44" s="81">
        <f>P44/R44</f>
        <v>0.7407407407407407</v>
      </c>
      <c r="T44" s="48"/>
      <c r="U44" s="48"/>
      <c r="V44" s="28">
        <f t="shared" ref="V44" si="34">SUM(V32:V43)</f>
        <v>25</v>
      </c>
      <c r="W44" s="48"/>
      <c r="X44" s="152">
        <f>SUM(X32:X43)</f>
        <v>0</v>
      </c>
      <c r="Y44" s="152">
        <f>SUM(Y32:Y43)</f>
        <v>2</v>
      </c>
      <c r="Z44" s="230"/>
      <c r="AA44" s="32"/>
      <c r="AB44" s="28">
        <f>SUM(AB32:AB43)</f>
        <v>40</v>
      </c>
      <c r="AC44" s="28">
        <f>SUM(AC32:AC43)</f>
        <v>0</v>
      </c>
      <c r="AD44" s="28"/>
      <c r="AE44" s="28">
        <f>SUM(AE32:AE43)</f>
        <v>37</v>
      </c>
      <c r="AF44" s="28">
        <f>SUM(AF32:AF43)</f>
        <v>37</v>
      </c>
      <c r="AG44" s="28"/>
      <c r="AH44" s="28"/>
      <c r="AI44" s="32"/>
      <c r="AJ44" s="421"/>
      <c r="AK44" s="421" t="str">
        <f t="shared" si="31"/>
        <v/>
      </c>
      <c r="AL44" s="73">
        <f t="shared" si="12"/>
        <v>0</v>
      </c>
      <c r="AM44" s="73">
        <f t="shared" si="13"/>
        <v>0</v>
      </c>
      <c r="AO44" s="156">
        <f>SUM(AO32:AO43)</f>
        <v>2</v>
      </c>
      <c r="AP44" s="156">
        <f>SUM(AP32:AP43)</f>
        <v>2</v>
      </c>
      <c r="AQ44" s="42"/>
      <c r="AR44" s="152">
        <f>SUM(AR32:AR43)</f>
        <v>220</v>
      </c>
      <c r="AS44" s="172">
        <f>SUM(AS32:AS43)</f>
        <v>0</v>
      </c>
      <c r="AT44" s="156">
        <f>SUM(AT32:AT43)</f>
        <v>297</v>
      </c>
      <c r="AV44" s="152"/>
      <c r="AW44" s="92">
        <f>SUM(AW4:AW43)</f>
        <v>473</v>
      </c>
      <c r="AX44" s="93">
        <f>SUM(AX4:AX43)</f>
        <v>460</v>
      </c>
      <c r="AY44" s="4">
        <f>AW44</f>
        <v>473</v>
      </c>
      <c r="AZ44" s="41">
        <f>AX44</f>
        <v>460</v>
      </c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V44" s="5" t="s">
        <v>363</v>
      </c>
      <c r="BW44" s="5"/>
      <c r="BX44" s="5" t="s">
        <v>147</v>
      </c>
      <c r="BY44" s="63">
        <f>B45</f>
        <v>3</v>
      </c>
      <c r="BZ44" s="64" t="s">
        <v>95</v>
      </c>
      <c r="CA44">
        <f>D45</f>
        <v>11</v>
      </c>
      <c r="CB44" s="65">
        <f>BY44/CA44</f>
        <v>0.27272727272727271</v>
      </c>
      <c r="CC44">
        <f>CB44*100</f>
        <v>27.27272727272727</v>
      </c>
      <c r="CD44">
        <f>INT(CC44)</f>
        <v>27</v>
      </c>
      <c r="CE44">
        <f>CC44-CD44</f>
        <v>0.27272727272726982</v>
      </c>
      <c r="CF44" t="str">
        <f>MID(CE44,1,4)</f>
        <v>0,27</v>
      </c>
      <c r="CG44">
        <f>CD44+CF44</f>
        <v>27.27</v>
      </c>
      <c r="CH44" t="s">
        <v>149</v>
      </c>
      <c r="CI44" t="str">
        <f>BX44</f>
        <v xml:space="preserve"> = </v>
      </c>
      <c r="CJ44" t="str">
        <f>CG44&amp;CH44</f>
        <v>27,27%</v>
      </c>
      <c r="CL44" t="str">
        <f>BV44&amp;BX44&amp;BY44&amp;BZ44&amp;CA44&amp;CI44&amp;CJ44</f>
        <v>nombre de dossiers = 3 / 11 = 27,27%</v>
      </c>
    </row>
    <row r="45" spans="1:90" ht="15" customHeight="1">
      <c r="A45" s="211"/>
      <c r="B45" s="351">
        <f>SUM(B33:B44)</f>
        <v>3</v>
      </c>
      <c r="C45" s="351">
        <f t="shared" ref="C45:D45" si="35">SUM(C33:C44)</f>
        <v>5</v>
      </c>
      <c r="D45" s="352">
        <f t="shared" si="35"/>
        <v>11</v>
      </c>
      <c r="G45" s="32"/>
      <c r="H45" s="32"/>
      <c r="I45" s="82" t="s">
        <v>353</v>
      </c>
      <c r="J45" s="32"/>
      <c r="K45" s="32"/>
      <c r="L45" s="32"/>
      <c r="M45" s="32"/>
      <c r="N45" s="32"/>
      <c r="O45" s="32"/>
      <c r="P45" s="32">
        <f>AR44</f>
        <v>220</v>
      </c>
      <c r="Q45" s="32"/>
      <c r="R45" s="32">
        <f>AT44</f>
        <v>297</v>
      </c>
      <c r="S45" s="43">
        <f>P45/R45</f>
        <v>0.7407407407407407</v>
      </c>
      <c r="T45" s="48"/>
      <c r="U45" s="48"/>
      <c r="V45" s="28"/>
      <c r="W45" s="48"/>
      <c r="X45" s="213"/>
      <c r="Y45" s="197">
        <f>Y44+X44</f>
        <v>2</v>
      </c>
      <c r="Z45" s="197"/>
      <c r="AA45" s="32"/>
      <c r="AB45" s="26"/>
      <c r="AC45" s="32"/>
      <c r="AD45" s="32"/>
      <c r="AE45" s="144"/>
      <c r="AF45" s="144">
        <f>AC45+AE45</f>
        <v>0</v>
      </c>
      <c r="AG45" s="144"/>
      <c r="AH45" s="144"/>
      <c r="AI45" s="144"/>
      <c r="AJ45" s="421"/>
      <c r="AK45" s="421" t="str">
        <f t="shared" si="31"/>
        <v/>
      </c>
      <c r="AL45" s="73">
        <f t="shared" si="12"/>
        <v>0</v>
      </c>
      <c r="AM45" s="73">
        <f t="shared" si="13"/>
        <v>0</v>
      </c>
      <c r="AO45" s="200"/>
      <c r="AP45" s="201"/>
      <c r="AR45" s="207">
        <f>AR44-AS44</f>
        <v>220</v>
      </c>
      <c r="AS45" s="202"/>
      <c r="AT45" s="208">
        <f>AT44-AS44</f>
        <v>297</v>
      </c>
      <c r="AV45" s="142"/>
      <c r="AW45" s="92"/>
      <c r="AX45" s="93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V45" s="5" t="s">
        <v>363</v>
      </c>
      <c r="BW45" s="5"/>
      <c r="BX45" s="5" t="s">
        <v>147</v>
      </c>
      <c r="BY45" s="63">
        <f>INT(J82)</f>
        <v>20</v>
      </c>
      <c r="BZ45" s="64" t="s">
        <v>95</v>
      </c>
      <c r="CA45">
        <f>D82</f>
        <v>55</v>
      </c>
      <c r="CB45" s="65">
        <f>BY45/CA45</f>
        <v>0.36363636363636365</v>
      </c>
      <c r="CC45">
        <f>CB45*100</f>
        <v>36.363636363636367</v>
      </c>
      <c r="CD45">
        <f>INT(CC45)</f>
        <v>36</v>
      </c>
      <c r="CE45">
        <f>CC45-CD45</f>
        <v>0.36363636363636687</v>
      </c>
      <c r="CF45" t="str">
        <f>MID(CE45,1,4)</f>
        <v>0,36</v>
      </c>
      <c r="CG45">
        <f>CD45+CF45</f>
        <v>36.36</v>
      </c>
      <c r="CH45" t="s">
        <v>149</v>
      </c>
      <c r="CI45" t="str">
        <f>BX45</f>
        <v xml:space="preserve"> = </v>
      </c>
      <c r="CJ45" t="str">
        <f>CG45&amp;CH45</f>
        <v>36,36%</v>
      </c>
      <c r="CL45" t="str">
        <f>BV45&amp;BX45&amp;BY45&amp;BZ45&amp;CA45&amp;CI45&amp;CJ45</f>
        <v>nombre de dossiers = 20 / 55 = 36,36%</v>
      </c>
    </row>
    <row r="46" spans="1:90" ht="15" customHeight="1">
      <c r="D46" s="88"/>
      <c r="G46" s="194">
        <v>15</v>
      </c>
      <c r="H46" s="53"/>
      <c r="I46" s="264" t="str">
        <f>I3</f>
        <v>Méthodes et formules démontrées</v>
      </c>
      <c r="J46" s="264"/>
      <c r="K46" s="262"/>
      <c r="L46" s="262" t="s">
        <v>375</v>
      </c>
      <c r="M46" s="263" t="s">
        <v>374</v>
      </c>
      <c r="N46" s="262"/>
      <c r="O46" s="464" t="s">
        <v>380</v>
      </c>
      <c r="P46" s="462"/>
      <c r="Q46" s="463"/>
      <c r="R46" s="464" t="s">
        <v>87</v>
      </c>
      <c r="S46" s="463"/>
      <c r="T46" s="42"/>
      <c r="U46" s="42"/>
      <c r="V46" s="228" t="s">
        <v>382</v>
      </c>
      <c r="W46" s="42"/>
      <c r="X46" s="459" t="s">
        <v>291</v>
      </c>
      <c r="Y46" s="460"/>
      <c r="Z46" s="233"/>
      <c r="AA46" s="53"/>
      <c r="AB46" s="228">
        <f>AA46</f>
        <v>0</v>
      </c>
      <c r="AC46" s="228"/>
      <c r="AD46" s="228"/>
      <c r="AE46" s="152"/>
      <c r="AF46" s="152">
        <f>AC46+AE46</f>
        <v>0</v>
      </c>
      <c r="AG46" s="152"/>
      <c r="AH46" s="152"/>
      <c r="AI46" s="144"/>
      <c r="AJ46" s="421">
        <f t="shared" si="11"/>
        <v>0</v>
      </c>
      <c r="AK46" s="421" t="str">
        <f t="shared" si="31"/>
        <v/>
      </c>
      <c r="AL46" s="73">
        <f t="shared" si="12"/>
        <v>0</v>
      </c>
      <c r="AM46" s="73">
        <f t="shared" si="13"/>
        <v>0</v>
      </c>
      <c r="AO46" s="138"/>
      <c r="AP46" s="138"/>
      <c r="AQ46" s="147"/>
      <c r="AR46" s="145"/>
      <c r="AS46" s="198"/>
      <c r="AT46" s="138"/>
      <c r="AV46" s="142"/>
      <c r="AW46" s="92"/>
      <c r="AX46" s="93"/>
      <c r="AY46" s="4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V46" s="3" t="s">
        <v>383</v>
      </c>
      <c r="BW46" s="3"/>
      <c r="BX46" t="s">
        <v>384</v>
      </c>
      <c r="BY46" s="63">
        <f>BY84</f>
        <v>21</v>
      </c>
      <c r="BZ46" s="64" t="s">
        <v>95</v>
      </c>
      <c r="CA46">
        <f>CA84</f>
        <v>55</v>
      </c>
      <c r="CB46" s="65">
        <f>BY46/CA46</f>
        <v>0.38181818181818183</v>
      </c>
      <c r="CC46">
        <f>CB46*100</f>
        <v>38.181818181818187</v>
      </c>
      <c r="CD46">
        <f>INT(CC46)</f>
        <v>38</v>
      </c>
      <c r="CE46">
        <f>CC46-CD46</f>
        <v>0.18181818181818699</v>
      </c>
      <c r="CF46" t="str">
        <f>MID(CE46,1,4)</f>
        <v>0,18</v>
      </c>
      <c r="CG46">
        <f>CD46+CF46</f>
        <v>38.18</v>
      </c>
      <c r="CH46" t="s">
        <v>149</v>
      </c>
      <c r="CI46" t="s">
        <v>384</v>
      </c>
      <c r="CJ46" t="str">
        <f>CG46&amp;CH46</f>
        <v>38,18%</v>
      </c>
      <c r="CK46" t="s">
        <v>385</v>
      </c>
      <c r="CL46" t="str">
        <f>BV46&amp;BX46&amp;BY46&amp;BZ46&amp;CA46&amp;CI46&amp;CJ46</f>
        <v>Nombre de dossier modié=21 / 55=38,18%</v>
      </c>
    </row>
    <row r="47" spans="1:90" s="3" customFormat="1" ht="15" customHeight="1">
      <c r="B47" s="353"/>
      <c r="C47" s="353"/>
      <c r="D47" s="88"/>
      <c r="G47" s="28"/>
      <c r="H47" s="32"/>
      <c r="I47" s="25" t="s">
        <v>3</v>
      </c>
      <c r="J47" s="26" t="str">
        <f>J31</f>
        <v>dos</v>
      </c>
      <c r="K47" s="26"/>
      <c r="L47" s="238" t="s">
        <v>376</v>
      </c>
      <c r="M47" s="27" t="s">
        <v>379</v>
      </c>
      <c r="N47" s="26" t="s">
        <v>381</v>
      </c>
      <c r="O47" s="26" t="s">
        <v>17</v>
      </c>
      <c r="P47" s="27" t="s">
        <v>361</v>
      </c>
      <c r="Q47" s="27" t="s">
        <v>97</v>
      </c>
      <c r="R47" s="153" t="s">
        <v>27</v>
      </c>
      <c r="S47" s="154" t="s">
        <v>104</v>
      </c>
      <c r="T47" s="237"/>
      <c r="U47" s="237"/>
      <c r="V47" s="28" t="s">
        <v>138</v>
      </c>
      <c r="W47" s="237"/>
      <c r="X47" s="155" t="s">
        <v>295</v>
      </c>
      <c r="Y47" s="155" t="s">
        <v>296</v>
      </c>
      <c r="Z47" s="233"/>
      <c r="AA47" s="32"/>
      <c r="AB47" s="28" t="s">
        <v>17</v>
      </c>
      <c r="AC47" s="28"/>
      <c r="AD47" s="28"/>
      <c r="AE47" s="152" t="str">
        <f>AE4</f>
        <v>1/2 D</v>
      </c>
      <c r="AF47" s="152"/>
      <c r="AG47" s="152"/>
      <c r="AH47" s="152"/>
      <c r="AI47" s="144"/>
      <c r="AJ47" s="421" t="str">
        <f t="shared" si="11"/>
        <v xml:space="preserve"> %</v>
      </c>
      <c r="AK47" s="421" t="str">
        <f t="shared" si="31"/>
        <v xml:space="preserve"> %</v>
      </c>
      <c r="AL47" s="73">
        <f t="shared" si="12"/>
        <v>1</v>
      </c>
      <c r="AM47" s="73">
        <f t="shared" si="13"/>
        <v>1</v>
      </c>
      <c r="AO47" s="141"/>
      <c r="AP47" s="141"/>
      <c r="AQ47" s="148"/>
      <c r="AR47" s="142"/>
      <c r="AS47" s="170"/>
      <c r="AT47" s="141"/>
      <c r="AV47" s="142"/>
      <c r="AW47" s="92"/>
      <c r="AX47" s="93"/>
      <c r="AY47" s="4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Z47" s="64"/>
      <c r="CI47"/>
    </row>
    <row r="48" spans="1:90" ht="15" customHeight="1">
      <c r="B48" s="353">
        <f t="shared" si="8"/>
        <v>0</v>
      </c>
      <c r="C48" s="353">
        <f t="shared" si="9"/>
        <v>1</v>
      </c>
      <c r="D48" s="88">
        <v>1</v>
      </c>
      <c r="E48" s="3"/>
      <c r="F48" s="3"/>
      <c r="G48" s="86"/>
      <c r="H48" s="272"/>
      <c r="I48" s="85" t="s">
        <v>29</v>
      </c>
      <c r="J48" s="86" t="s">
        <v>21</v>
      </c>
      <c r="K48" s="196"/>
      <c r="L48" s="68"/>
      <c r="M48" s="68"/>
      <c r="N48" s="68"/>
      <c r="O48" s="68"/>
      <c r="P48" s="73"/>
      <c r="Q48" s="73"/>
      <c r="R48" s="73">
        <v>5</v>
      </c>
      <c r="S48" s="77">
        <f t="shared" ref="S48:S57" si="36">IF(R48=0,"",P48/R48)</f>
        <v>0</v>
      </c>
      <c r="T48" s="48"/>
      <c r="U48" s="48"/>
      <c r="V48" s="73"/>
      <c r="W48" s="48"/>
      <c r="X48" s="142"/>
      <c r="Y48" s="142"/>
      <c r="Z48" s="142"/>
      <c r="AA48" s="32"/>
      <c r="AB48" s="73"/>
      <c r="AC48" s="73"/>
      <c r="AD48" s="73"/>
      <c r="AE48" s="73">
        <f>V48</f>
        <v>0</v>
      </c>
      <c r="AF48" s="73">
        <f t="shared" ref="AF48:AF54" si="37">AC48+AE48</f>
        <v>0</v>
      </c>
      <c r="AG48" s="73"/>
      <c r="AH48" s="73"/>
      <c r="AI48" s="32"/>
      <c r="AJ48" s="421">
        <f t="shared" si="11"/>
        <v>0</v>
      </c>
      <c r="AK48" s="421" t="str">
        <f t="shared" si="31"/>
        <v/>
      </c>
      <c r="AL48" s="73">
        <f t="shared" si="12"/>
        <v>0</v>
      </c>
      <c r="AM48" s="73">
        <f t="shared" si="13"/>
        <v>0</v>
      </c>
      <c r="AO48" s="142"/>
      <c r="AP48" s="142"/>
      <c r="AQ48" s="144"/>
      <c r="AR48" s="142">
        <f t="shared" ref="AR48:AR54" si="38">P48</f>
        <v>0</v>
      </c>
      <c r="AS48" s="170">
        <f t="shared" ref="AS48:AS54" si="39">X48</f>
        <v>0</v>
      </c>
      <c r="AT48" s="142">
        <f t="shared" ref="AT48:AT54" si="40">R48</f>
        <v>5</v>
      </c>
      <c r="AV48" s="142">
        <f>X48</f>
        <v>0</v>
      </c>
      <c r="AW48" s="92">
        <f t="shared" ref="AW48:AW54" si="41">P48</f>
        <v>0</v>
      </c>
      <c r="AX48" s="93">
        <f t="shared" ref="AX48:AX54" si="42">R48</f>
        <v>5</v>
      </c>
      <c r="AY48" s="4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Z48" s="64"/>
    </row>
    <row r="49" spans="2:78" ht="15" customHeight="1">
      <c r="B49" s="353">
        <f t="shared" si="8"/>
        <v>0</v>
      </c>
      <c r="C49" s="353">
        <f t="shared" si="9"/>
        <v>1</v>
      </c>
      <c r="D49" s="88">
        <v>1</v>
      </c>
      <c r="E49" s="3"/>
      <c r="F49" s="3"/>
      <c r="G49" s="73"/>
      <c r="H49" s="32"/>
      <c r="I49" s="87" t="s">
        <v>404</v>
      </c>
      <c r="J49" s="68" t="s">
        <v>21</v>
      </c>
      <c r="K49" s="68"/>
      <c r="L49" s="68"/>
      <c r="M49" s="68"/>
      <c r="N49" s="68"/>
      <c r="O49" s="68">
        <v>7</v>
      </c>
      <c r="P49" s="73">
        <v>45</v>
      </c>
      <c r="Q49" s="73"/>
      <c r="R49" s="73">
        <v>15</v>
      </c>
      <c r="S49" s="77">
        <f t="shared" si="36"/>
        <v>3</v>
      </c>
      <c r="T49" s="48"/>
      <c r="U49" s="48"/>
      <c r="V49" s="73">
        <v>21</v>
      </c>
      <c r="W49" s="48"/>
      <c r="X49" s="142"/>
      <c r="Y49" s="142">
        <v>8</v>
      </c>
      <c r="Z49" s="142"/>
      <c r="AA49" s="32"/>
      <c r="AB49" s="73">
        <v>7</v>
      </c>
      <c r="AC49" s="73">
        <v>17</v>
      </c>
      <c r="AD49" s="73"/>
      <c r="AE49" s="73"/>
      <c r="AF49" s="73">
        <f t="shared" si="37"/>
        <v>17</v>
      </c>
      <c r="AG49" s="73"/>
      <c r="AH49" s="73">
        <v>1</v>
      </c>
      <c r="AI49" s="32"/>
      <c r="AJ49" s="421">
        <f t="shared" si="11"/>
        <v>3</v>
      </c>
      <c r="AK49" s="421">
        <f t="shared" si="31"/>
        <v>3</v>
      </c>
      <c r="AL49" s="73">
        <f t="shared" si="12"/>
        <v>1</v>
      </c>
      <c r="AM49" s="73">
        <f t="shared" si="13"/>
        <v>1</v>
      </c>
      <c r="AO49" s="142">
        <v>8</v>
      </c>
      <c r="AP49" s="142"/>
      <c r="AQ49" s="144"/>
      <c r="AR49" s="142">
        <f t="shared" si="38"/>
        <v>45</v>
      </c>
      <c r="AS49" s="170">
        <f t="shared" si="39"/>
        <v>0</v>
      </c>
      <c r="AT49" s="142">
        <f t="shared" si="40"/>
        <v>15</v>
      </c>
      <c r="AV49" s="142"/>
      <c r="AW49" s="92">
        <f t="shared" si="41"/>
        <v>45</v>
      </c>
      <c r="AX49" s="93">
        <f t="shared" si="42"/>
        <v>15</v>
      </c>
      <c r="AY49" s="4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>
        <v>2</v>
      </c>
      <c r="BV49" t="s">
        <v>176</v>
      </c>
      <c r="BZ49" s="64"/>
    </row>
    <row r="50" spans="2:78" ht="15" customHeight="1">
      <c r="B50" s="353">
        <f t="shared" si="8"/>
        <v>0</v>
      </c>
      <c r="C50" s="353">
        <f t="shared" si="9"/>
        <v>0</v>
      </c>
      <c r="D50" s="88">
        <v>0</v>
      </c>
      <c r="E50" s="3"/>
      <c r="F50" s="3"/>
      <c r="G50" s="73"/>
      <c r="H50" s="32"/>
      <c r="I50" s="87" t="s">
        <v>33</v>
      </c>
      <c r="J50" s="68"/>
      <c r="K50" s="68"/>
      <c r="L50" s="68"/>
      <c r="M50" s="68"/>
      <c r="N50" s="68"/>
      <c r="O50" s="68"/>
      <c r="P50" s="73"/>
      <c r="Q50" s="73"/>
      <c r="R50" s="73">
        <v>12</v>
      </c>
      <c r="S50" s="77">
        <f t="shared" si="36"/>
        <v>0</v>
      </c>
      <c r="T50" s="48"/>
      <c r="U50" s="48"/>
      <c r="V50" s="73"/>
      <c r="W50" s="48"/>
      <c r="X50" s="142"/>
      <c r="Y50" s="142"/>
      <c r="Z50" s="142"/>
      <c r="AA50" s="32"/>
      <c r="AB50" s="73"/>
      <c r="AC50" s="73"/>
      <c r="AD50" s="73"/>
      <c r="AE50" s="73">
        <f t="shared" ref="AE50:AE77" si="43">V50</f>
        <v>0</v>
      </c>
      <c r="AF50" s="73">
        <f t="shared" si="37"/>
        <v>0</v>
      </c>
      <c r="AG50" s="73"/>
      <c r="AH50" s="73"/>
      <c r="AI50" s="32"/>
      <c r="AJ50" s="421">
        <f t="shared" si="11"/>
        <v>0</v>
      </c>
      <c r="AK50" s="421" t="str">
        <f t="shared" si="31"/>
        <v/>
      </c>
      <c r="AL50" s="73">
        <f t="shared" si="12"/>
        <v>0</v>
      </c>
      <c r="AM50" s="73">
        <f t="shared" si="13"/>
        <v>0</v>
      </c>
      <c r="AO50" s="142"/>
      <c r="AP50" s="142"/>
      <c r="AQ50" s="144"/>
      <c r="AR50" s="142">
        <f t="shared" si="38"/>
        <v>0</v>
      </c>
      <c r="AS50" s="170">
        <f t="shared" si="39"/>
        <v>0</v>
      </c>
      <c r="AT50" s="142">
        <f t="shared" si="40"/>
        <v>12</v>
      </c>
      <c r="AV50" s="142"/>
      <c r="AW50" s="92">
        <f t="shared" si="41"/>
        <v>0</v>
      </c>
      <c r="AX50" s="93">
        <f t="shared" si="42"/>
        <v>12</v>
      </c>
      <c r="AY50" s="4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>
        <v>5</v>
      </c>
      <c r="BV50" t="s">
        <v>177</v>
      </c>
      <c r="BZ50" s="64"/>
    </row>
    <row r="51" spans="2:78" ht="15" customHeight="1">
      <c r="B51" s="353">
        <f t="shared" si="8"/>
        <v>1</v>
      </c>
      <c r="C51" s="353">
        <f t="shared" si="9"/>
        <v>1</v>
      </c>
      <c r="D51" s="88">
        <v>1</v>
      </c>
      <c r="E51" s="3"/>
      <c r="F51" s="3"/>
      <c r="G51" s="73"/>
      <c r="H51" s="32"/>
      <c r="I51" s="87" t="s">
        <v>89</v>
      </c>
      <c r="J51" s="68">
        <v>1</v>
      </c>
      <c r="K51" s="68"/>
      <c r="L51" s="68"/>
      <c r="M51" s="68"/>
      <c r="N51" s="68"/>
      <c r="O51" s="68"/>
      <c r="P51" s="73">
        <v>21</v>
      </c>
      <c r="Q51" s="73"/>
      <c r="R51" s="73">
        <v>39</v>
      </c>
      <c r="S51" s="77">
        <f t="shared" si="36"/>
        <v>0.53846153846153844</v>
      </c>
      <c r="T51" s="48"/>
      <c r="U51" s="48"/>
      <c r="V51" s="73"/>
      <c r="W51" s="48"/>
      <c r="X51" s="142"/>
      <c r="Y51" s="142"/>
      <c r="Z51" s="142"/>
      <c r="AA51" s="32"/>
      <c r="AB51" s="73">
        <v>2</v>
      </c>
      <c r="AC51" s="73"/>
      <c r="AD51" s="73"/>
      <c r="AE51" s="73">
        <f t="shared" si="43"/>
        <v>0</v>
      </c>
      <c r="AF51" s="73">
        <f t="shared" si="37"/>
        <v>0</v>
      </c>
      <c r="AG51" s="73"/>
      <c r="AH51" s="73"/>
      <c r="AI51" s="32"/>
      <c r="AJ51" s="421">
        <f t="shared" si="11"/>
        <v>0.53846153846153844</v>
      </c>
      <c r="AK51" s="421" t="str">
        <f t="shared" si="31"/>
        <v/>
      </c>
      <c r="AL51" s="73">
        <f t="shared" si="12"/>
        <v>0</v>
      </c>
      <c r="AM51" s="73">
        <f t="shared" si="13"/>
        <v>1</v>
      </c>
      <c r="AO51" s="142"/>
      <c r="AP51" s="142"/>
      <c r="AQ51" s="144"/>
      <c r="AR51" s="142">
        <f t="shared" si="38"/>
        <v>21</v>
      </c>
      <c r="AS51" s="170">
        <f t="shared" si="39"/>
        <v>0</v>
      </c>
      <c r="AT51" s="142">
        <f t="shared" si="40"/>
        <v>39</v>
      </c>
      <c r="AV51" s="142"/>
      <c r="AW51" s="92">
        <f t="shared" si="41"/>
        <v>21</v>
      </c>
      <c r="AX51" s="93">
        <f t="shared" si="42"/>
        <v>39</v>
      </c>
      <c r="AY51" s="4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>
        <v>4</v>
      </c>
      <c r="BV51" t="s">
        <v>178</v>
      </c>
      <c r="BZ51" s="64"/>
    </row>
    <row r="52" spans="2:78" ht="15" customHeight="1">
      <c r="B52" s="353">
        <f t="shared" si="8"/>
        <v>0</v>
      </c>
      <c r="C52" s="353">
        <f t="shared" si="9"/>
        <v>1</v>
      </c>
      <c r="D52" s="88">
        <f t="shared" ref="D52" si="44">D51</f>
        <v>1</v>
      </c>
      <c r="E52" s="3"/>
      <c r="F52" s="3"/>
      <c r="G52" s="86"/>
      <c r="H52" s="272"/>
      <c r="I52" s="87" t="s">
        <v>10</v>
      </c>
      <c r="J52" s="86" t="s">
        <v>21</v>
      </c>
      <c r="K52" s="196"/>
      <c r="L52" s="68"/>
      <c r="M52" s="68"/>
      <c r="N52" s="68"/>
      <c r="O52" s="68">
        <v>3</v>
      </c>
      <c r="P52" s="73">
        <v>7</v>
      </c>
      <c r="Q52" s="73"/>
      <c r="R52" s="73"/>
      <c r="S52" s="77" t="str">
        <f t="shared" si="36"/>
        <v/>
      </c>
      <c r="T52" s="48"/>
      <c r="U52" s="48"/>
      <c r="V52" s="73"/>
      <c r="W52" s="48"/>
      <c r="X52" s="142">
        <v>4</v>
      </c>
      <c r="Y52" s="142"/>
      <c r="Z52" s="142"/>
      <c r="AA52" s="32"/>
      <c r="AB52" s="73">
        <v>5</v>
      </c>
      <c r="AC52" s="73"/>
      <c r="AD52" s="73"/>
      <c r="AE52" s="73">
        <f t="shared" si="43"/>
        <v>0</v>
      </c>
      <c r="AF52" s="73">
        <f t="shared" si="37"/>
        <v>0</v>
      </c>
      <c r="AG52" s="73"/>
      <c r="AH52" s="73"/>
      <c r="AI52" s="32"/>
      <c r="AJ52" s="421" t="str">
        <f t="shared" si="11"/>
        <v/>
      </c>
      <c r="AK52" s="421" t="str">
        <f t="shared" si="31"/>
        <v/>
      </c>
      <c r="AL52" s="73">
        <f t="shared" si="12"/>
        <v>1</v>
      </c>
      <c r="AM52" s="73">
        <f t="shared" si="13"/>
        <v>1</v>
      </c>
      <c r="AO52" s="142"/>
      <c r="AP52" s="142"/>
      <c r="AQ52" s="144"/>
      <c r="AR52" s="142">
        <f t="shared" si="38"/>
        <v>7</v>
      </c>
      <c r="AS52" s="170">
        <f t="shared" si="39"/>
        <v>4</v>
      </c>
      <c r="AT52" s="142">
        <f t="shared" si="40"/>
        <v>0</v>
      </c>
      <c r="AV52" s="142"/>
      <c r="AW52" s="92">
        <f t="shared" si="41"/>
        <v>7</v>
      </c>
      <c r="AX52" s="93">
        <f t="shared" si="42"/>
        <v>0</v>
      </c>
      <c r="AY52" s="4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>
        <v>6</v>
      </c>
      <c r="BV52" t="s">
        <v>179</v>
      </c>
      <c r="BZ52" s="64"/>
    </row>
    <row r="53" spans="2:78" ht="15" customHeight="1">
      <c r="B53" s="353">
        <f t="shared" si="8"/>
        <v>1</v>
      </c>
      <c r="C53" s="353">
        <f t="shared" si="9"/>
        <v>1</v>
      </c>
      <c r="D53" s="88">
        <v>1</v>
      </c>
      <c r="E53" s="3"/>
      <c r="F53" s="3"/>
      <c r="G53" s="73">
        <v>1</v>
      </c>
      <c r="H53" s="32"/>
      <c r="I53" s="87" t="s">
        <v>318</v>
      </c>
      <c r="J53" s="68">
        <v>1</v>
      </c>
      <c r="K53" s="68"/>
      <c r="L53" s="68">
        <v>1</v>
      </c>
      <c r="M53" s="68"/>
      <c r="N53" s="68">
        <v>1</v>
      </c>
      <c r="O53" s="68">
        <v>9</v>
      </c>
      <c r="P53" s="73">
        <v>29</v>
      </c>
      <c r="Q53" s="73"/>
      <c r="R53" s="73">
        <v>25</v>
      </c>
      <c r="S53" s="77">
        <f t="shared" si="36"/>
        <v>1.1599999999999999</v>
      </c>
      <c r="T53" s="48"/>
      <c r="U53" s="48"/>
      <c r="V53" s="73">
        <f>23-6</f>
        <v>17</v>
      </c>
      <c r="W53" s="48"/>
      <c r="X53" s="142"/>
      <c r="Y53" s="142">
        <v>39</v>
      </c>
      <c r="Z53" s="142"/>
      <c r="AA53" s="32"/>
      <c r="AB53" s="73">
        <v>9</v>
      </c>
      <c r="AC53" s="73"/>
      <c r="AD53" s="73"/>
      <c r="AE53" s="73">
        <f t="shared" si="43"/>
        <v>17</v>
      </c>
      <c r="AF53" s="73">
        <f t="shared" si="37"/>
        <v>17</v>
      </c>
      <c r="AG53" s="73"/>
      <c r="AH53" s="73"/>
      <c r="AI53" s="32"/>
      <c r="AJ53" s="421">
        <f t="shared" si="11"/>
        <v>1.1599999999999999</v>
      </c>
      <c r="AK53" s="421">
        <f t="shared" si="31"/>
        <v>1.1599999999999999</v>
      </c>
      <c r="AL53" s="73">
        <f t="shared" si="12"/>
        <v>1</v>
      </c>
      <c r="AM53" s="73">
        <f t="shared" si="13"/>
        <v>1</v>
      </c>
      <c r="AO53" s="142"/>
      <c r="AP53" s="142"/>
      <c r="AQ53" s="144"/>
      <c r="AR53" s="142">
        <f t="shared" si="38"/>
        <v>29</v>
      </c>
      <c r="AS53" s="170">
        <f t="shared" si="39"/>
        <v>0</v>
      </c>
      <c r="AT53" s="142">
        <f t="shared" si="40"/>
        <v>25</v>
      </c>
      <c r="AV53" s="142"/>
      <c r="AW53" s="92">
        <f t="shared" si="41"/>
        <v>29</v>
      </c>
      <c r="AX53" s="93">
        <f t="shared" si="42"/>
        <v>25</v>
      </c>
      <c r="AY53" s="4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>
        <v>6</v>
      </c>
      <c r="BV53" t="s">
        <v>180</v>
      </c>
      <c r="BZ53" s="64"/>
    </row>
    <row r="54" spans="2:78" ht="15" customHeight="1">
      <c r="B54" s="353">
        <f t="shared" si="8"/>
        <v>0</v>
      </c>
      <c r="C54" s="353">
        <f t="shared" si="9"/>
        <v>1</v>
      </c>
      <c r="D54" s="88">
        <v>1</v>
      </c>
      <c r="E54" s="3"/>
      <c r="F54" s="3"/>
      <c r="G54" s="73">
        <v>1</v>
      </c>
      <c r="H54" s="32"/>
      <c r="I54" s="87" t="s">
        <v>473</v>
      </c>
      <c r="J54" s="68" t="s">
        <v>21</v>
      </c>
      <c r="K54" s="68"/>
      <c r="L54" s="68"/>
      <c r="M54" s="68"/>
      <c r="N54" s="68"/>
      <c r="O54" s="68">
        <v>3</v>
      </c>
      <c r="P54" s="73">
        <v>3</v>
      </c>
      <c r="Q54" s="73"/>
      <c r="R54" s="73">
        <v>9</v>
      </c>
      <c r="S54" s="77">
        <f t="shared" si="36"/>
        <v>0.33333333333333331</v>
      </c>
      <c r="T54" s="48"/>
      <c r="U54" s="48"/>
      <c r="V54" s="73">
        <v>1</v>
      </c>
      <c r="W54" s="48"/>
      <c r="X54" s="142"/>
      <c r="Y54" s="142"/>
      <c r="Z54" s="142"/>
      <c r="AA54" s="32"/>
      <c r="AB54" s="73">
        <v>0</v>
      </c>
      <c r="AC54" s="73"/>
      <c r="AD54" s="73"/>
      <c r="AE54" s="73">
        <f t="shared" si="43"/>
        <v>1</v>
      </c>
      <c r="AF54" s="73">
        <f t="shared" si="37"/>
        <v>1</v>
      </c>
      <c r="AG54" s="73"/>
      <c r="AH54" s="73"/>
      <c r="AI54" s="32"/>
      <c r="AJ54" s="421">
        <f t="shared" si="11"/>
        <v>0.33333333333333331</v>
      </c>
      <c r="AK54" s="421" t="str">
        <f t="shared" si="31"/>
        <v/>
      </c>
      <c r="AL54" s="73">
        <f t="shared" si="12"/>
        <v>0</v>
      </c>
      <c r="AM54" s="73">
        <f t="shared" si="13"/>
        <v>1</v>
      </c>
      <c r="AO54" s="142">
        <v>3</v>
      </c>
      <c r="AP54" s="142">
        <v>3</v>
      </c>
      <c r="AQ54" s="144"/>
      <c r="AR54" s="142">
        <f t="shared" si="38"/>
        <v>3</v>
      </c>
      <c r="AS54" s="170">
        <f t="shared" si="39"/>
        <v>0</v>
      </c>
      <c r="AT54" s="142">
        <f t="shared" si="40"/>
        <v>9</v>
      </c>
      <c r="AV54" s="142"/>
      <c r="AW54" s="92">
        <f t="shared" si="41"/>
        <v>3</v>
      </c>
      <c r="AX54" s="93">
        <f t="shared" si="42"/>
        <v>9</v>
      </c>
      <c r="AY54" s="4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>
        <v>2</v>
      </c>
      <c r="BV54" t="s">
        <v>181</v>
      </c>
      <c r="BZ54" s="64"/>
    </row>
    <row r="55" spans="2:78" ht="15" customHeight="1">
      <c r="B55" s="353">
        <f t="shared" ref="B55" si="45">IF(J55=1,1,0)</f>
        <v>0</v>
      </c>
      <c r="C55" s="353">
        <f t="shared" ref="C55" si="46">IF(J55="x",1,B55)</f>
        <v>0</v>
      </c>
      <c r="D55" s="88">
        <v>2</v>
      </c>
      <c r="E55" s="3"/>
      <c r="F55" s="3"/>
      <c r="G55" s="73"/>
      <c r="H55" s="32"/>
      <c r="I55" s="87" t="s">
        <v>420</v>
      </c>
      <c r="J55" s="68"/>
      <c r="K55" s="68"/>
      <c r="L55" s="68"/>
      <c r="M55" s="68"/>
      <c r="N55" s="68"/>
      <c r="O55" s="68"/>
      <c r="P55" s="73"/>
      <c r="Q55" s="73"/>
      <c r="R55" s="73"/>
      <c r="S55" s="77"/>
      <c r="T55" s="48"/>
      <c r="U55" s="48"/>
      <c r="V55" s="73"/>
      <c r="W55" s="48"/>
      <c r="X55" s="142"/>
      <c r="Y55" s="142"/>
      <c r="Z55" s="142"/>
      <c r="AA55" s="32"/>
      <c r="AB55" s="73"/>
      <c r="AC55" s="73"/>
      <c r="AD55" s="73"/>
      <c r="AE55" s="73"/>
      <c r="AF55" s="73"/>
      <c r="AG55" s="73"/>
      <c r="AH55" s="73"/>
      <c r="AI55" s="32"/>
      <c r="AJ55" s="421">
        <f t="shared" si="11"/>
        <v>0</v>
      </c>
      <c r="AK55" s="421" t="str">
        <f t="shared" si="31"/>
        <v/>
      </c>
      <c r="AL55" s="73">
        <f t="shared" si="12"/>
        <v>0</v>
      </c>
      <c r="AM55" s="73">
        <f t="shared" si="13"/>
        <v>0</v>
      </c>
      <c r="AO55" s="142"/>
      <c r="AP55" s="142"/>
      <c r="AQ55" s="144"/>
      <c r="AR55" s="142"/>
      <c r="AS55" s="170"/>
      <c r="AT55" s="142"/>
      <c r="AV55" s="142"/>
      <c r="AW55" s="92"/>
      <c r="AX55" s="93"/>
      <c r="AY55" s="307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Z55" s="64"/>
    </row>
    <row r="56" spans="2:78" ht="15" customHeight="1">
      <c r="B56" s="353">
        <f t="shared" si="8"/>
        <v>1</v>
      </c>
      <c r="C56" s="353">
        <f t="shared" si="9"/>
        <v>1</v>
      </c>
      <c r="D56" s="88">
        <f>D54</f>
        <v>1</v>
      </c>
      <c r="E56" s="3"/>
      <c r="F56" s="3"/>
      <c r="G56" s="73"/>
      <c r="H56" s="32"/>
      <c r="I56" s="87" t="s">
        <v>30</v>
      </c>
      <c r="J56" s="68">
        <v>1</v>
      </c>
      <c r="K56" s="68"/>
      <c r="L56" s="68"/>
      <c r="M56" s="68"/>
      <c r="N56" s="68"/>
      <c r="O56" s="68">
        <v>7</v>
      </c>
      <c r="P56" s="73">
        <v>12</v>
      </c>
      <c r="Q56" s="73"/>
      <c r="R56" s="73">
        <v>34</v>
      </c>
      <c r="S56" s="77">
        <f>IF(R56=0,"",P56/R56)</f>
        <v>0.35294117647058826</v>
      </c>
      <c r="T56" s="48"/>
      <c r="U56" s="48"/>
      <c r="V56" s="73"/>
      <c r="W56" s="48"/>
      <c r="X56" s="142"/>
      <c r="Y56" s="142">
        <v>19</v>
      </c>
      <c r="Z56" s="142"/>
      <c r="AA56" s="32"/>
      <c r="AB56" s="73">
        <v>7</v>
      </c>
      <c r="AC56" s="73"/>
      <c r="AD56" s="73"/>
      <c r="AE56" s="73">
        <f t="shared" si="43"/>
        <v>0</v>
      </c>
      <c r="AF56" s="73">
        <f t="shared" ref="AF56:AF77" si="47">AC56+AE56</f>
        <v>0</v>
      </c>
      <c r="AG56" s="73"/>
      <c r="AH56" s="73"/>
      <c r="AI56" s="32"/>
      <c r="AJ56" s="421">
        <f t="shared" si="11"/>
        <v>0.35294117647058826</v>
      </c>
      <c r="AK56" s="421" t="str">
        <f t="shared" si="31"/>
        <v/>
      </c>
      <c r="AL56" s="73">
        <f t="shared" si="12"/>
        <v>0</v>
      </c>
      <c r="AM56" s="73">
        <f t="shared" si="13"/>
        <v>1</v>
      </c>
      <c r="AO56" s="142"/>
      <c r="AP56" s="142"/>
      <c r="AQ56" s="144"/>
      <c r="AR56" s="142">
        <f t="shared" ref="AR56:AR67" si="48">P56</f>
        <v>12</v>
      </c>
      <c r="AS56" s="170">
        <f t="shared" ref="AS56:AS65" si="49">X56</f>
        <v>0</v>
      </c>
      <c r="AT56" s="142">
        <f t="shared" ref="AT56:AT67" si="50">R56</f>
        <v>34</v>
      </c>
      <c r="AV56" s="142"/>
      <c r="AW56" s="92">
        <f t="shared" ref="AW56:AW67" si="51">P56</f>
        <v>12</v>
      </c>
      <c r="AX56" s="93">
        <f t="shared" ref="AX56:AX67" si="52">R56</f>
        <v>34</v>
      </c>
      <c r="AY56" s="4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>
        <v>2</v>
      </c>
      <c r="BV56" t="s">
        <v>182</v>
      </c>
      <c r="BZ56" s="64"/>
    </row>
    <row r="57" spans="2:78" ht="15" customHeight="1">
      <c r="B57" s="353">
        <f t="shared" si="8"/>
        <v>0</v>
      </c>
      <c r="C57" s="353">
        <f t="shared" si="9"/>
        <v>1</v>
      </c>
      <c r="D57" s="88">
        <v>0</v>
      </c>
      <c r="E57" s="3"/>
      <c r="F57" s="3"/>
      <c r="G57" s="73"/>
      <c r="H57" s="32"/>
      <c r="I57" s="87" t="s">
        <v>362</v>
      </c>
      <c r="J57" s="68" t="s">
        <v>21</v>
      </c>
      <c r="K57" s="68"/>
      <c r="L57" s="68"/>
      <c r="M57" s="68"/>
      <c r="N57" s="68"/>
      <c r="O57" s="68"/>
      <c r="P57" s="73">
        <v>9</v>
      </c>
      <c r="Q57" s="73"/>
      <c r="R57" s="73">
        <v>35</v>
      </c>
      <c r="S57" s="77">
        <f t="shared" si="36"/>
        <v>0.25714285714285712</v>
      </c>
      <c r="T57" s="48"/>
      <c r="U57" s="48"/>
      <c r="V57" s="73"/>
      <c r="W57" s="48"/>
      <c r="X57" s="142"/>
      <c r="Y57" s="142">
        <v>35</v>
      </c>
      <c r="Z57" s="142"/>
      <c r="AA57" s="32"/>
      <c r="AB57" s="73">
        <v>9</v>
      </c>
      <c r="AC57" s="73"/>
      <c r="AD57" s="73"/>
      <c r="AE57" s="73">
        <f t="shared" si="43"/>
        <v>0</v>
      </c>
      <c r="AF57" s="73">
        <f t="shared" si="47"/>
        <v>0</v>
      </c>
      <c r="AG57" s="73"/>
      <c r="AH57" s="73"/>
      <c r="AI57" s="32"/>
      <c r="AJ57" s="421">
        <f t="shared" si="11"/>
        <v>0.25714285714285712</v>
      </c>
      <c r="AK57" s="421" t="str">
        <f t="shared" si="31"/>
        <v/>
      </c>
      <c r="AL57" s="73">
        <f t="shared" si="12"/>
        <v>0</v>
      </c>
      <c r="AM57" s="73">
        <f t="shared" si="13"/>
        <v>1</v>
      </c>
      <c r="AO57" s="142"/>
      <c r="AP57" s="142"/>
      <c r="AQ57" s="144"/>
      <c r="AR57" s="142">
        <f t="shared" si="48"/>
        <v>9</v>
      </c>
      <c r="AS57" s="170">
        <f t="shared" si="49"/>
        <v>0</v>
      </c>
      <c r="AT57" s="142">
        <f t="shared" si="50"/>
        <v>35</v>
      </c>
      <c r="AV57" s="142"/>
      <c r="AW57" s="92">
        <f t="shared" si="51"/>
        <v>9</v>
      </c>
      <c r="AX57" s="93">
        <f t="shared" si="52"/>
        <v>35</v>
      </c>
      <c r="AY57" s="4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>
        <v>6</v>
      </c>
      <c r="BV57" t="s">
        <v>183</v>
      </c>
      <c r="BZ57" s="64"/>
    </row>
    <row r="58" spans="2:78" ht="15" customHeight="1">
      <c r="B58" s="353">
        <f t="shared" si="8"/>
        <v>0</v>
      </c>
      <c r="C58" s="353">
        <f t="shared" si="9"/>
        <v>1</v>
      </c>
      <c r="D58" s="88">
        <v>0</v>
      </c>
      <c r="E58" s="3"/>
      <c r="F58" s="3"/>
      <c r="G58" s="73"/>
      <c r="H58" s="32"/>
      <c r="I58" s="87" t="s">
        <v>18</v>
      </c>
      <c r="J58" s="68" t="s">
        <v>21</v>
      </c>
      <c r="K58" s="68"/>
      <c r="L58" s="68"/>
      <c r="M58" s="68"/>
      <c r="N58" s="68"/>
      <c r="O58" s="68">
        <v>1</v>
      </c>
      <c r="P58" s="73">
        <v>1</v>
      </c>
      <c r="Q58" s="73"/>
      <c r="R58" s="73">
        <v>4</v>
      </c>
      <c r="S58" s="77">
        <f>O58/R58</f>
        <v>0.25</v>
      </c>
      <c r="T58" s="48"/>
      <c r="U58" s="48"/>
      <c r="V58" s="73"/>
      <c r="W58" s="48"/>
      <c r="X58" s="142"/>
      <c r="Y58" s="142"/>
      <c r="Z58" s="142"/>
      <c r="AA58" s="32"/>
      <c r="AB58" s="73">
        <v>1</v>
      </c>
      <c r="AC58" s="73"/>
      <c r="AD58" s="73"/>
      <c r="AE58" s="73">
        <f t="shared" si="43"/>
        <v>0</v>
      </c>
      <c r="AF58" s="73">
        <f t="shared" si="47"/>
        <v>0</v>
      </c>
      <c r="AG58" s="73"/>
      <c r="AH58" s="73"/>
      <c r="AI58" s="32"/>
      <c r="AJ58" s="421">
        <f t="shared" si="11"/>
        <v>0.25</v>
      </c>
      <c r="AK58" s="421" t="str">
        <f t="shared" si="31"/>
        <v/>
      </c>
      <c r="AL58" s="73">
        <f t="shared" si="12"/>
        <v>0</v>
      </c>
      <c r="AM58" s="73">
        <f t="shared" si="13"/>
        <v>1</v>
      </c>
      <c r="AO58" s="142"/>
      <c r="AP58" s="142"/>
      <c r="AQ58" s="144"/>
      <c r="AR58" s="142">
        <f t="shared" si="48"/>
        <v>1</v>
      </c>
      <c r="AS58" s="170">
        <f t="shared" si="49"/>
        <v>0</v>
      </c>
      <c r="AT58" s="142">
        <f t="shared" si="50"/>
        <v>4</v>
      </c>
      <c r="AV58" s="142"/>
      <c r="AW58" s="92">
        <f t="shared" si="51"/>
        <v>1</v>
      </c>
      <c r="AX58" s="93">
        <f t="shared" si="52"/>
        <v>4</v>
      </c>
      <c r="AY58" s="4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>
        <v>6</v>
      </c>
      <c r="BV58" t="s">
        <v>184</v>
      </c>
      <c r="BZ58" s="64"/>
    </row>
    <row r="59" spans="2:78" ht="15" customHeight="1">
      <c r="B59" s="353">
        <f t="shared" si="8"/>
        <v>1</v>
      </c>
      <c r="C59" s="353">
        <f t="shared" si="9"/>
        <v>1</v>
      </c>
      <c r="D59" s="88">
        <v>1</v>
      </c>
      <c r="E59" s="3"/>
      <c r="F59" s="3"/>
      <c r="G59" s="73"/>
      <c r="H59" s="32"/>
      <c r="I59" s="87" t="s">
        <v>357</v>
      </c>
      <c r="J59" s="68">
        <v>1</v>
      </c>
      <c r="K59" s="68"/>
      <c r="L59" s="68"/>
      <c r="M59" s="68"/>
      <c r="N59" s="68"/>
      <c r="O59" s="68"/>
      <c r="P59" s="73">
        <v>16</v>
      </c>
      <c r="Q59" s="73"/>
      <c r="R59" s="73">
        <v>16</v>
      </c>
      <c r="S59" s="77">
        <f t="shared" ref="S59:S65" si="53">IF(R59=0,"",P59/R59)</f>
        <v>1</v>
      </c>
      <c r="T59" s="48"/>
      <c r="U59" s="48"/>
      <c r="V59" s="73">
        <v>1</v>
      </c>
      <c r="W59" s="48"/>
      <c r="X59" s="142"/>
      <c r="Y59" s="142"/>
      <c r="Z59" s="142"/>
      <c r="AA59" s="32"/>
      <c r="AB59" s="73"/>
      <c r="AC59" s="73"/>
      <c r="AD59" s="73"/>
      <c r="AE59" s="73">
        <f t="shared" si="43"/>
        <v>1</v>
      </c>
      <c r="AF59" s="73">
        <f t="shared" si="47"/>
        <v>1</v>
      </c>
      <c r="AG59" s="73"/>
      <c r="AH59" s="73"/>
      <c r="AI59" s="32"/>
      <c r="AJ59" s="421">
        <f t="shared" si="11"/>
        <v>1</v>
      </c>
      <c r="AK59" s="421" t="str">
        <f t="shared" si="31"/>
        <v/>
      </c>
      <c r="AL59" s="73">
        <f t="shared" si="12"/>
        <v>0</v>
      </c>
      <c r="AM59" s="73">
        <f t="shared" si="13"/>
        <v>1</v>
      </c>
      <c r="AO59" s="142"/>
      <c r="AP59" s="142"/>
      <c r="AQ59" s="144"/>
      <c r="AR59" s="142">
        <f t="shared" si="48"/>
        <v>16</v>
      </c>
      <c r="AS59" s="170">
        <f t="shared" si="49"/>
        <v>0</v>
      </c>
      <c r="AT59" s="142">
        <f t="shared" si="50"/>
        <v>16</v>
      </c>
      <c r="AV59" s="142"/>
      <c r="AW59" s="92">
        <f t="shared" si="51"/>
        <v>16</v>
      </c>
      <c r="AX59" s="93">
        <f t="shared" si="52"/>
        <v>16</v>
      </c>
      <c r="AY59" s="4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>
        <f>SUM(BU49:BU58)</f>
        <v>39</v>
      </c>
      <c r="BV59">
        <v>44</v>
      </c>
      <c r="BZ59" s="64"/>
    </row>
    <row r="60" spans="2:78" ht="15" customHeight="1">
      <c r="B60" s="353">
        <f t="shared" si="8"/>
        <v>0</v>
      </c>
      <c r="C60" s="353">
        <f t="shared" si="9"/>
        <v>1</v>
      </c>
      <c r="D60" s="88">
        <v>0</v>
      </c>
      <c r="E60" s="3"/>
      <c r="F60" s="3"/>
      <c r="G60" s="73">
        <v>1</v>
      </c>
      <c r="H60" s="32"/>
      <c r="I60" s="87" t="s">
        <v>358</v>
      </c>
      <c r="J60" s="68" t="s">
        <v>21</v>
      </c>
      <c r="K60" s="68"/>
      <c r="L60" s="68"/>
      <c r="M60" s="68">
        <v>1</v>
      </c>
      <c r="N60" s="68">
        <v>1</v>
      </c>
      <c r="O60" s="68">
        <v>11</v>
      </c>
      <c r="P60" s="73">
        <v>104</v>
      </c>
      <c r="Q60" s="73">
        <v>134</v>
      </c>
      <c r="R60" s="73">
        <v>53</v>
      </c>
      <c r="S60" s="77">
        <f t="shared" si="53"/>
        <v>1.9622641509433962</v>
      </c>
      <c r="T60" s="48"/>
      <c r="U60" s="48"/>
      <c r="V60" s="73">
        <v>6</v>
      </c>
      <c r="W60" s="48"/>
      <c r="X60" s="142"/>
      <c r="Y60" s="142"/>
      <c r="Z60" s="142"/>
      <c r="AA60" s="32"/>
      <c r="AB60" s="73">
        <v>23</v>
      </c>
      <c r="AC60" s="73"/>
      <c r="AD60" s="73"/>
      <c r="AE60" s="73">
        <f t="shared" si="43"/>
        <v>6</v>
      </c>
      <c r="AF60" s="73">
        <f t="shared" si="47"/>
        <v>6</v>
      </c>
      <c r="AG60" s="73"/>
      <c r="AH60" s="73"/>
      <c r="AI60" s="32"/>
      <c r="AJ60" s="421">
        <f t="shared" si="11"/>
        <v>1.9622641509433962</v>
      </c>
      <c r="AK60" s="421">
        <f t="shared" si="31"/>
        <v>1.9622641509433962</v>
      </c>
      <c r="AL60" s="73">
        <f t="shared" si="12"/>
        <v>1</v>
      </c>
      <c r="AM60" s="73">
        <f t="shared" si="13"/>
        <v>1</v>
      </c>
      <c r="AO60" s="142"/>
      <c r="AP60" s="142"/>
      <c r="AQ60" s="144"/>
      <c r="AR60" s="142">
        <f t="shared" si="48"/>
        <v>104</v>
      </c>
      <c r="AS60" s="170">
        <f t="shared" si="49"/>
        <v>0</v>
      </c>
      <c r="AT60" s="142">
        <f t="shared" si="50"/>
        <v>53</v>
      </c>
      <c r="AV60" s="142"/>
      <c r="AW60" s="92">
        <f t="shared" si="51"/>
        <v>104</v>
      </c>
      <c r="AX60" s="93">
        <f t="shared" si="52"/>
        <v>53</v>
      </c>
      <c r="AY60" s="4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Z60" s="64"/>
    </row>
    <row r="61" spans="2:78" ht="15" customHeight="1">
      <c r="B61" s="353">
        <f t="shared" si="8"/>
        <v>0</v>
      </c>
      <c r="C61" s="353">
        <f t="shared" si="9"/>
        <v>0</v>
      </c>
      <c r="D61" s="88">
        <v>0</v>
      </c>
      <c r="E61" s="3"/>
      <c r="F61" s="3"/>
      <c r="G61" s="73"/>
      <c r="H61" s="32"/>
      <c r="I61" s="87" t="s">
        <v>35</v>
      </c>
      <c r="J61" s="68"/>
      <c r="K61" s="68"/>
      <c r="L61" s="68"/>
      <c r="M61" s="68"/>
      <c r="N61" s="68"/>
      <c r="O61" s="68"/>
      <c r="P61" s="73"/>
      <c r="Q61" s="73"/>
      <c r="R61" s="73">
        <v>30</v>
      </c>
      <c r="S61" s="77">
        <f t="shared" si="53"/>
        <v>0</v>
      </c>
      <c r="T61" s="48"/>
      <c r="U61" s="48"/>
      <c r="V61" s="73"/>
      <c r="W61" s="48"/>
      <c r="X61" s="142"/>
      <c r="Y61" s="142"/>
      <c r="Z61" s="142"/>
      <c r="AA61" s="32"/>
      <c r="AB61" s="73"/>
      <c r="AC61" s="73"/>
      <c r="AD61" s="73"/>
      <c r="AE61" s="73">
        <f t="shared" si="43"/>
        <v>0</v>
      </c>
      <c r="AF61" s="73">
        <f t="shared" si="47"/>
        <v>0</v>
      </c>
      <c r="AG61" s="73"/>
      <c r="AH61" s="73"/>
      <c r="AI61" s="32"/>
      <c r="AJ61" s="421">
        <f t="shared" si="11"/>
        <v>0</v>
      </c>
      <c r="AK61" s="421" t="str">
        <f t="shared" si="31"/>
        <v/>
      </c>
      <c r="AL61" s="73">
        <f t="shared" si="12"/>
        <v>0</v>
      </c>
      <c r="AM61" s="73">
        <f t="shared" si="13"/>
        <v>0</v>
      </c>
      <c r="AO61" s="142"/>
      <c r="AP61" s="142"/>
      <c r="AQ61" s="144"/>
      <c r="AR61" s="142">
        <f t="shared" si="48"/>
        <v>0</v>
      </c>
      <c r="AS61" s="170">
        <f t="shared" si="49"/>
        <v>0</v>
      </c>
      <c r="AT61" s="142">
        <f t="shared" si="50"/>
        <v>30</v>
      </c>
      <c r="AV61" s="142"/>
      <c r="AW61" s="92">
        <f t="shared" si="51"/>
        <v>0</v>
      </c>
      <c r="AX61" s="93">
        <f t="shared" si="52"/>
        <v>30</v>
      </c>
      <c r="AY61" s="4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Z61" s="64"/>
    </row>
    <row r="62" spans="2:78" ht="15" customHeight="1">
      <c r="B62" s="353">
        <f t="shared" si="8"/>
        <v>0</v>
      </c>
      <c r="C62" s="353">
        <f t="shared" si="9"/>
        <v>0</v>
      </c>
      <c r="D62" s="88">
        <v>1</v>
      </c>
      <c r="E62" s="3"/>
      <c r="F62" s="3"/>
      <c r="G62" s="73"/>
      <c r="H62" s="32"/>
      <c r="I62" s="87" t="s">
        <v>100</v>
      </c>
      <c r="J62" s="68"/>
      <c r="K62" s="68"/>
      <c r="L62" s="68"/>
      <c r="M62" s="68"/>
      <c r="N62" s="68"/>
      <c r="O62" s="68"/>
      <c r="P62" s="73"/>
      <c r="Q62" s="73"/>
      <c r="R62" s="73"/>
      <c r="S62" s="77" t="str">
        <f t="shared" si="53"/>
        <v/>
      </c>
      <c r="T62" s="48"/>
      <c r="U62" s="48"/>
      <c r="V62" s="73"/>
      <c r="W62" s="48"/>
      <c r="X62" s="142"/>
      <c r="Y62" s="142"/>
      <c r="Z62" s="142"/>
      <c r="AA62" s="32"/>
      <c r="AB62" s="73"/>
      <c r="AC62" s="73"/>
      <c r="AD62" s="73"/>
      <c r="AE62" s="73">
        <f t="shared" si="43"/>
        <v>0</v>
      </c>
      <c r="AF62" s="73">
        <f t="shared" si="47"/>
        <v>0</v>
      </c>
      <c r="AG62" s="73"/>
      <c r="AH62" s="73"/>
      <c r="AI62" s="32"/>
      <c r="AJ62" s="421" t="str">
        <f t="shared" si="11"/>
        <v/>
      </c>
      <c r="AK62" s="421" t="str">
        <f t="shared" si="31"/>
        <v/>
      </c>
      <c r="AL62" s="73">
        <f t="shared" si="12"/>
        <v>1</v>
      </c>
      <c r="AM62" s="73">
        <f t="shared" si="13"/>
        <v>1</v>
      </c>
      <c r="AO62" s="142"/>
      <c r="AP62" s="142"/>
      <c r="AQ62" s="144"/>
      <c r="AR62" s="142">
        <f t="shared" si="48"/>
        <v>0</v>
      </c>
      <c r="AS62" s="170">
        <f t="shared" si="49"/>
        <v>0</v>
      </c>
      <c r="AT62" s="142">
        <f t="shared" si="50"/>
        <v>0</v>
      </c>
      <c r="AV62" s="142"/>
      <c r="AW62" s="92">
        <f t="shared" si="51"/>
        <v>0</v>
      </c>
      <c r="AX62" s="93">
        <f t="shared" si="52"/>
        <v>0</v>
      </c>
      <c r="AY62" s="4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Z62" s="64"/>
    </row>
    <row r="63" spans="2:78" ht="15" customHeight="1">
      <c r="B63" s="353">
        <f t="shared" si="8"/>
        <v>0</v>
      </c>
      <c r="C63" s="353">
        <f t="shared" si="9"/>
        <v>0</v>
      </c>
      <c r="D63" s="88">
        <v>1</v>
      </c>
      <c r="E63" s="3"/>
      <c r="F63" s="3"/>
      <c r="G63" s="73"/>
      <c r="H63" s="32"/>
      <c r="I63" s="87" t="s">
        <v>101</v>
      </c>
      <c r="J63" s="68"/>
      <c r="K63" s="68"/>
      <c r="L63" s="68"/>
      <c r="M63" s="68"/>
      <c r="N63" s="68"/>
      <c r="O63" s="68"/>
      <c r="P63" s="73"/>
      <c r="Q63" s="73"/>
      <c r="R63" s="73"/>
      <c r="S63" s="77" t="str">
        <f t="shared" si="53"/>
        <v/>
      </c>
      <c r="T63" s="48"/>
      <c r="U63" s="48"/>
      <c r="V63" s="73"/>
      <c r="W63" s="48"/>
      <c r="X63" s="142"/>
      <c r="Y63" s="142"/>
      <c r="Z63" s="142"/>
      <c r="AA63" s="32"/>
      <c r="AB63" s="73"/>
      <c r="AC63" s="73"/>
      <c r="AD63" s="73"/>
      <c r="AE63" s="73">
        <f t="shared" si="43"/>
        <v>0</v>
      </c>
      <c r="AF63" s="73">
        <f t="shared" si="47"/>
        <v>0</v>
      </c>
      <c r="AG63" s="73"/>
      <c r="AH63" s="73"/>
      <c r="AI63" s="32"/>
      <c r="AJ63" s="421" t="str">
        <f t="shared" si="11"/>
        <v/>
      </c>
      <c r="AK63" s="421" t="str">
        <f t="shared" si="31"/>
        <v/>
      </c>
      <c r="AL63" s="73">
        <f t="shared" si="12"/>
        <v>1</v>
      </c>
      <c r="AM63" s="73">
        <f t="shared" si="13"/>
        <v>1</v>
      </c>
      <c r="AO63" s="142"/>
      <c r="AP63" s="142"/>
      <c r="AQ63" s="144"/>
      <c r="AR63" s="142">
        <f t="shared" si="48"/>
        <v>0</v>
      </c>
      <c r="AS63" s="170">
        <f t="shared" si="49"/>
        <v>0</v>
      </c>
      <c r="AT63" s="142">
        <f t="shared" si="50"/>
        <v>0</v>
      </c>
      <c r="AV63" s="142"/>
      <c r="AW63" s="92">
        <f t="shared" si="51"/>
        <v>0</v>
      </c>
      <c r="AX63" s="93">
        <f t="shared" si="52"/>
        <v>0</v>
      </c>
      <c r="AY63" s="4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Z63" s="64"/>
    </row>
    <row r="64" spans="2:78" ht="15" customHeight="1">
      <c r="B64" s="353">
        <f t="shared" si="8"/>
        <v>0</v>
      </c>
      <c r="C64" s="353">
        <f t="shared" si="9"/>
        <v>0</v>
      </c>
      <c r="D64" s="88">
        <v>1</v>
      </c>
      <c r="G64" s="73"/>
      <c r="H64" s="32"/>
      <c r="I64" s="87" t="s">
        <v>298</v>
      </c>
      <c r="J64" s="68"/>
      <c r="K64" s="68"/>
      <c r="L64" s="68"/>
      <c r="M64" s="68"/>
      <c r="N64" s="68"/>
      <c r="O64" s="68"/>
      <c r="P64" s="73"/>
      <c r="Q64" s="73"/>
      <c r="R64" s="73">
        <v>28</v>
      </c>
      <c r="S64" s="77">
        <f t="shared" si="53"/>
        <v>0</v>
      </c>
      <c r="T64" s="48"/>
      <c r="U64" s="48"/>
      <c r="V64" s="73"/>
      <c r="W64" s="48"/>
      <c r="X64" s="142"/>
      <c r="Y64" s="142"/>
      <c r="Z64" s="142"/>
      <c r="AA64" s="32"/>
      <c r="AB64" s="73"/>
      <c r="AC64" s="73"/>
      <c r="AD64" s="73"/>
      <c r="AE64" s="73">
        <f t="shared" si="43"/>
        <v>0</v>
      </c>
      <c r="AF64" s="73">
        <f t="shared" si="47"/>
        <v>0</v>
      </c>
      <c r="AG64" s="73"/>
      <c r="AH64" s="73"/>
      <c r="AI64" s="32"/>
      <c r="AJ64" s="421">
        <f t="shared" si="11"/>
        <v>0</v>
      </c>
      <c r="AK64" s="421" t="str">
        <f t="shared" si="31"/>
        <v/>
      </c>
      <c r="AL64" s="73">
        <f t="shared" si="12"/>
        <v>0</v>
      </c>
      <c r="AM64" s="73">
        <f t="shared" si="13"/>
        <v>0</v>
      </c>
      <c r="AO64" s="142"/>
      <c r="AP64" s="142"/>
      <c r="AQ64" s="144"/>
      <c r="AR64" s="142">
        <f t="shared" si="48"/>
        <v>0</v>
      </c>
      <c r="AS64" s="170">
        <f t="shared" si="49"/>
        <v>0</v>
      </c>
      <c r="AT64" s="142">
        <f t="shared" si="50"/>
        <v>28</v>
      </c>
      <c r="AV64" s="142"/>
      <c r="AW64" s="92">
        <f t="shared" si="51"/>
        <v>0</v>
      </c>
      <c r="AX64" s="93">
        <f t="shared" si="52"/>
        <v>28</v>
      </c>
      <c r="AY64" s="4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Z64" s="64"/>
    </row>
    <row r="65" spans="1:90" ht="15" customHeight="1">
      <c r="B65" s="353">
        <f t="shared" si="8"/>
        <v>0</v>
      </c>
      <c r="C65" s="353">
        <f t="shared" si="9"/>
        <v>0</v>
      </c>
      <c r="D65" s="88"/>
      <c r="G65" s="73"/>
      <c r="H65" s="32"/>
      <c r="I65" s="87" t="s">
        <v>299</v>
      </c>
      <c r="J65" s="68"/>
      <c r="K65" s="68"/>
      <c r="L65" s="68"/>
      <c r="M65" s="68"/>
      <c r="N65" s="68"/>
      <c r="O65" s="68"/>
      <c r="P65" s="73">
        <v>4</v>
      </c>
      <c r="Q65" s="73"/>
      <c r="R65" s="73">
        <v>8</v>
      </c>
      <c r="S65" s="77">
        <f t="shared" si="53"/>
        <v>0.5</v>
      </c>
      <c r="T65" s="48"/>
      <c r="U65" s="48"/>
      <c r="V65" s="73"/>
      <c r="W65" s="48"/>
      <c r="X65" s="142"/>
      <c r="Y65" s="142"/>
      <c r="Z65" s="142"/>
      <c r="AA65" s="32"/>
      <c r="AB65" s="73">
        <v>2</v>
      </c>
      <c r="AC65" s="73"/>
      <c r="AD65" s="73"/>
      <c r="AE65" s="73">
        <f t="shared" si="43"/>
        <v>0</v>
      </c>
      <c r="AF65" s="73">
        <f t="shared" si="47"/>
        <v>0</v>
      </c>
      <c r="AG65" s="73"/>
      <c r="AH65" s="73"/>
      <c r="AI65" s="32"/>
      <c r="AJ65" s="421">
        <f t="shared" si="11"/>
        <v>0.5</v>
      </c>
      <c r="AK65" s="421" t="str">
        <f t="shared" si="31"/>
        <v/>
      </c>
      <c r="AL65" s="73">
        <f t="shared" si="12"/>
        <v>0</v>
      </c>
      <c r="AM65" s="73">
        <f t="shared" si="13"/>
        <v>1</v>
      </c>
      <c r="AO65" s="142">
        <v>4</v>
      </c>
      <c r="AP65" s="142"/>
      <c r="AQ65" s="144"/>
      <c r="AR65" s="142">
        <f t="shared" si="48"/>
        <v>4</v>
      </c>
      <c r="AS65" s="170">
        <f t="shared" si="49"/>
        <v>0</v>
      </c>
      <c r="AT65" s="142">
        <f t="shared" si="50"/>
        <v>8</v>
      </c>
      <c r="AV65" s="142"/>
      <c r="AW65" s="92">
        <f t="shared" si="51"/>
        <v>4</v>
      </c>
      <c r="AX65" s="93">
        <f t="shared" si="52"/>
        <v>8</v>
      </c>
      <c r="AY65" s="4">
        <f>SUM(AW48:AW65)</f>
        <v>251</v>
      </c>
      <c r="AZ65" s="72">
        <f>SUM(AX48:AX65)</f>
        <v>313</v>
      </c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Z65" s="64"/>
    </row>
    <row r="66" spans="1:90" ht="15" customHeight="1">
      <c r="B66" s="353">
        <f t="shared" si="8"/>
        <v>0</v>
      </c>
      <c r="C66" s="353">
        <f t="shared" si="9"/>
        <v>0</v>
      </c>
      <c r="D66" s="88">
        <v>0</v>
      </c>
      <c r="G66" s="83"/>
      <c r="H66" s="32"/>
      <c r="I66" s="135" t="s">
        <v>102</v>
      </c>
      <c r="J66" s="136"/>
      <c r="K66" s="136"/>
      <c r="L66" s="136"/>
      <c r="M66" s="136"/>
      <c r="N66" s="136"/>
      <c r="O66" s="136"/>
      <c r="P66" s="83"/>
      <c r="Q66" s="83"/>
      <c r="R66" s="83">
        <v>35</v>
      </c>
      <c r="S66" s="84"/>
      <c r="T66" s="48"/>
      <c r="U66" s="48"/>
      <c r="V66" s="83"/>
      <c r="W66" s="48"/>
      <c r="X66" s="142">
        <f>R66*R67</f>
        <v>1190</v>
      </c>
      <c r="Y66" s="142"/>
      <c r="Z66" s="142"/>
      <c r="AA66" s="32"/>
      <c r="AB66" s="83"/>
      <c r="AC66" s="83"/>
      <c r="AD66" s="83"/>
      <c r="AE66" s="83">
        <f t="shared" si="43"/>
        <v>0</v>
      </c>
      <c r="AF66" s="83">
        <f t="shared" si="47"/>
        <v>0</v>
      </c>
      <c r="AG66" s="83"/>
      <c r="AH66" s="83"/>
      <c r="AI66" s="32"/>
      <c r="AJ66" s="421">
        <f t="shared" si="11"/>
        <v>0</v>
      </c>
      <c r="AK66" s="421" t="str">
        <f t="shared" si="31"/>
        <v/>
      </c>
      <c r="AL66" s="73">
        <f t="shared" si="12"/>
        <v>0</v>
      </c>
      <c r="AM66" s="73">
        <f t="shared" si="13"/>
        <v>0</v>
      </c>
      <c r="AO66" s="142"/>
      <c r="AP66" s="142"/>
      <c r="AQ66" s="144"/>
      <c r="AR66" s="142">
        <f t="shared" si="48"/>
        <v>0</v>
      </c>
      <c r="AS66" s="170">
        <v>0</v>
      </c>
      <c r="AT66" s="142">
        <f t="shared" si="50"/>
        <v>35</v>
      </c>
      <c r="AV66" s="142">
        <f>X66</f>
        <v>1190</v>
      </c>
      <c r="AW66" s="223">
        <f t="shared" si="51"/>
        <v>0</v>
      </c>
      <c r="AX66" s="177">
        <f t="shared" si="52"/>
        <v>35</v>
      </c>
      <c r="AY66" s="4">
        <f>AY65+AY44</f>
        <v>724</v>
      </c>
      <c r="AZ66" s="72">
        <f>AZ65+AZ44</f>
        <v>773</v>
      </c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Z66" s="64"/>
    </row>
    <row r="67" spans="1:90" ht="15" customHeight="1">
      <c r="B67" s="353">
        <f t="shared" si="8"/>
        <v>1</v>
      </c>
      <c r="C67" s="353">
        <f t="shared" si="9"/>
        <v>1</v>
      </c>
      <c r="D67" s="88">
        <v>1</v>
      </c>
      <c r="G67" s="73">
        <v>1</v>
      </c>
      <c r="H67" s="32"/>
      <c r="I67" s="87" t="s">
        <v>359</v>
      </c>
      <c r="J67" s="68">
        <v>1</v>
      </c>
      <c r="K67" s="68">
        <v>5</v>
      </c>
      <c r="L67" s="68"/>
      <c r="M67" s="68"/>
      <c r="N67" s="68"/>
      <c r="O67" s="68">
        <v>2</v>
      </c>
      <c r="P67" s="73">
        <v>36</v>
      </c>
      <c r="Q67" s="73"/>
      <c r="R67" s="73">
        <f>P67-O67</f>
        <v>34</v>
      </c>
      <c r="S67" s="77">
        <f t="shared" ref="S67:S76" si="54">IF(R67=0,"",P67/R67)</f>
        <v>1.0588235294117647</v>
      </c>
      <c r="T67" s="48"/>
      <c r="U67" s="48"/>
      <c r="V67" s="73">
        <v>1</v>
      </c>
      <c r="W67" s="48"/>
      <c r="X67" s="139">
        <v>20</v>
      </c>
      <c r="Y67" s="139"/>
      <c r="Z67" s="139"/>
      <c r="AA67" s="32"/>
      <c r="AB67" s="73">
        <v>2</v>
      </c>
      <c r="AC67" s="73"/>
      <c r="AD67" s="73"/>
      <c r="AE67" s="73">
        <f t="shared" si="43"/>
        <v>1</v>
      </c>
      <c r="AF67" s="73">
        <f t="shared" si="47"/>
        <v>1</v>
      </c>
      <c r="AG67" s="73"/>
      <c r="AH67" s="73"/>
      <c r="AI67" s="32"/>
      <c r="AJ67" s="421">
        <f t="shared" si="11"/>
        <v>1.0588235294117647</v>
      </c>
      <c r="AK67" s="421">
        <f t="shared" si="31"/>
        <v>1.0588235294117647</v>
      </c>
      <c r="AL67" s="73">
        <f t="shared" si="12"/>
        <v>1</v>
      </c>
      <c r="AM67" s="73">
        <f t="shared" si="13"/>
        <v>1</v>
      </c>
      <c r="AO67" s="142">
        <f>R67</f>
        <v>34</v>
      </c>
      <c r="AP67" s="142">
        <v>2</v>
      </c>
      <c r="AQ67" s="144"/>
      <c r="AR67" s="142">
        <f t="shared" si="48"/>
        <v>36</v>
      </c>
      <c r="AS67" s="170">
        <f>X67</f>
        <v>20</v>
      </c>
      <c r="AT67" s="142">
        <f t="shared" si="50"/>
        <v>34</v>
      </c>
      <c r="AV67" s="142">
        <f>X67</f>
        <v>20</v>
      </c>
      <c r="AW67" s="92">
        <f t="shared" si="51"/>
        <v>36</v>
      </c>
      <c r="AX67" s="93">
        <f t="shared" si="52"/>
        <v>34</v>
      </c>
      <c r="AY67" s="4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Z67" s="64"/>
    </row>
    <row r="68" spans="1:90" ht="15" customHeight="1">
      <c r="B68" s="353">
        <v>0</v>
      </c>
      <c r="C68" s="353">
        <v>0</v>
      </c>
      <c r="D68" s="353">
        <v>0</v>
      </c>
      <c r="G68" s="73"/>
      <c r="H68" s="32"/>
      <c r="I68" s="87" t="s">
        <v>466</v>
      </c>
      <c r="J68" s="68" t="s">
        <v>21</v>
      </c>
      <c r="K68" s="68"/>
      <c r="L68" s="68"/>
      <c r="M68" s="68"/>
      <c r="N68" s="68"/>
      <c r="O68" s="68"/>
      <c r="P68" s="73"/>
      <c r="Q68" s="73"/>
      <c r="R68" s="73"/>
      <c r="S68" s="77"/>
      <c r="T68" s="48"/>
      <c r="U68" s="48"/>
      <c r="V68" s="73"/>
      <c r="W68" s="48"/>
      <c r="X68" s="139"/>
      <c r="Y68" s="139"/>
      <c r="Z68" s="139"/>
      <c r="AA68" s="32"/>
      <c r="AB68" s="73"/>
      <c r="AC68" s="73"/>
      <c r="AD68" s="73"/>
      <c r="AE68" s="73"/>
      <c r="AF68" s="73"/>
      <c r="AG68" s="73"/>
      <c r="AH68" s="73"/>
      <c r="AI68" s="32"/>
      <c r="AJ68" s="421">
        <f t="shared" si="11"/>
        <v>0</v>
      </c>
      <c r="AK68" s="421" t="str">
        <f t="shared" si="31"/>
        <v/>
      </c>
      <c r="AL68" s="73">
        <f t="shared" si="12"/>
        <v>0</v>
      </c>
      <c r="AM68" s="73">
        <f t="shared" si="13"/>
        <v>0</v>
      </c>
      <c r="AO68" s="142"/>
      <c r="AP68" s="142"/>
      <c r="AQ68" s="144"/>
      <c r="AR68" s="142"/>
      <c r="AS68" s="170"/>
      <c r="AT68" s="142"/>
      <c r="AV68" s="142"/>
      <c r="AW68" s="92"/>
      <c r="AX68" s="93"/>
      <c r="AY68" s="347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Z68" s="64"/>
    </row>
    <row r="69" spans="1:90" ht="15" customHeight="1">
      <c r="B69" s="353">
        <v>0</v>
      </c>
      <c r="C69" s="353">
        <v>0</v>
      </c>
      <c r="D69" s="353">
        <v>0</v>
      </c>
      <c r="G69" s="73"/>
      <c r="H69" s="32"/>
      <c r="I69" s="87" t="s">
        <v>467</v>
      </c>
      <c r="J69" s="68" t="s">
        <v>21</v>
      </c>
      <c r="K69" s="68"/>
      <c r="L69" s="68"/>
      <c r="M69" s="68"/>
      <c r="N69" s="68"/>
      <c r="O69" s="68"/>
      <c r="P69" s="73"/>
      <c r="Q69" s="73"/>
      <c r="R69" s="73"/>
      <c r="S69" s="77"/>
      <c r="T69" s="48"/>
      <c r="U69" s="48"/>
      <c r="V69" s="73"/>
      <c r="W69" s="48"/>
      <c r="X69" s="139"/>
      <c r="Y69" s="139"/>
      <c r="Z69" s="139"/>
      <c r="AA69" s="32"/>
      <c r="AB69" s="73">
        <v>1</v>
      </c>
      <c r="AC69" s="73"/>
      <c r="AD69" s="73"/>
      <c r="AE69" s="73"/>
      <c r="AF69" s="73"/>
      <c r="AG69" s="73"/>
      <c r="AH69" s="73"/>
      <c r="AI69" s="32"/>
      <c r="AJ69" s="421">
        <f t="shared" si="11"/>
        <v>0</v>
      </c>
      <c r="AK69" s="421" t="str">
        <f t="shared" ref="AK69:AK78" si="55">IF(AL69=1,AJ69,"")</f>
        <v/>
      </c>
      <c r="AL69" s="73">
        <f t="shared" si="12"/>
        <v>0</v>
      </c>
      <c r="AM69" s="73">
        <f t="shared" si="13"/>
        <v>0</v>
      </c>
      <c r="AO69" s="142"/>
      <c r="AP69" s="142"/>
      <c r="AQ69" s="144"/>
      <c r="AR69" s="142"/>
      <c r="AS69" s="170"/>
      <c r="AT69" s="142"/>
      <c r="AV69" s="142"/>
      <c r="AW69" s="92"/>
      <c r="AX69" s="93"/>
      <c r="AY69" s="347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Z69" s="64"/>
    </row>
    <row r="70" spans="1:90" ht="15" customHeight="1">
      <c r="B70" s="353">
        <v>0</v>
      </c>
      <c r="C70" s="353">
        <v>0</v>
      </c>
      <c r="D70" s="353">
        <v>0</v>
      </c>
      <c r="G70" s="73"/>
      <c r="H70" s="32"/>
      <c r="I70" s="87" t="s">
        <v>468</v>
      </c>
      <c r="J70" s="68" t="s">
        <v>21</v>
      </c>
      <c r="K70" s="68"/>
      <c r="L70" s="68"/>
      <c r="M70" s="68"/>
      <c r="N70" s="68"/>
      <c r="O70" s="68"/>
      <c r="P70" s="73"/>
      <c r="Q70" s="73"/>
      <c r="R70" s="73"/>
      <c r="S70" s="77"/>
      <c r="T70" s="48"/>
      <c r="U70" s="48"/>
      <c r="V70" s="73"/>
      <c r="W70" s="48"/>
      <c r="X70" s="139"/>
      <c r="Y70" s="139"/>
      <c r="Z70" s="139"/>
      <c r="AA70" s="32"/>
      <c r="AB70" s="73">
        <v>1</v>
      </c>
      <c r="AC70" s="73"/>
      <c r="AD70" s="73"/>
      <c r="AE70" s="73"/>
      <c r="AF70" s="73"/>
      <c r="AG70" s="73"/>
      <c r="AH70" s="73"/>
      <c r="AI70" s="32"/>
      <c r="AJ70" s="421">
        <f t="shared" ref="AJ70:AJ77" si="56">S70</f>
        <v>0</v>
      </c>
      <c r="AK70" s="421" t="str">
        <f t="shared" si="55"/>
        <v/>
      </c>
      <c r="AL70" s="73">
        <f t="shared" ref="AL70:AL78" si="57">IF(AJ70&gt;1,1,0)</f>
        <v>0</v>
      </c>
      <c r="AM70" s="73">
        <f t="shared" ref="AM70:AM77" si="58">IF(AJ70=0,0,1)</f>
        <v>0</v>
      </c>
      <c r="AO70" s="142"/>
      <c r="AP70" s="142"/>
      <c r="AQ70" s="144"/>
      <c r="AR70" s="142"/>
      <c r="AS70" s="170"/>
      <c r="AT70" s="142"/>
      <c r="AV70" s="142"/>
      <c r="AW70" s="92"/>
      <c r="AX70" s="93"/>
      <c r="AY70" s="347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Z70" s="64"/>
    </row>
    <row r="71" spans="1:90" ht="15" customHeight="1">
      <c r="B71" s="353">
        <f t="shared" si="8"/>
        <v>0</v>
      </c>
      <c r="C71" s="353">
        <f t="shared" si="9"/>
        <v>0</v>
      </c>
      <c r="D71" s="88">
        <f>D67</f>
        <v>1</v>
      </c>
      <c r="G71" s="73"/>
      <c r="H71" s="32"/>
      <c r="I71" s="87" t="s">
        <v>131</v>
      </c>
      <c r="J71" s="68"/>
      <c r="K71" s="68"/>
      <c r="L71" s="68"/>
      <c r="M71" s="68"/>
      <c r="N71" s="68"/>
      <c r="O71" s="68"/>
      <c r="P71" s="73"/>
      <c r="Q71" s="73"/>
      <c r="R71" s="73"/>
      <c r="S71" s="77" t="str">
        <f t="shared" si="54"/>
        <v/>
      </c>
      <c r="T71" s="48"/>
      <c r="U71" s="48"/>
      <c r="V71" s="73"/>
      <c r="W71" s="48"/>
      <c r="X71" s="142"/>
      <c r="Y71" s="142"/>
      <c r="Z71" s="142"/>
      <c r="AA71" s="32"/>
      <c r="AB71" s="73"/>
      <c r="AC71" s="73"/>
      <c r="AD71" s="73"/>
      <c r="AE71" s="73">
        <f t="shared" si="43"/>
        <v>0</v>
      </c>
      <c r="AF71" s="73">
        <f t="shared" si="47"/>
        <v>0</v>
      </c>
      <c r="AG71" s="73"/>
      <c r="AH71" s="73"/>
      <c r="AI71" s="32"/>
      <c r="AJ71" s="421" t="str">
        <f t="shared" si="56"/>
        <v/>
      </c>
      <c r="AK71" s="421" t="str">
        <f t="shared" si="55"/>
        <v/>
      </c>
      <c r="AL71" s="73">
        <f t="shared" si="57"/>
        <v>1</v>
      </c>
      <c r="AM71" s="73">
        <f t="shared" si="58"/>
        <v>1</v>
      </c>
      <c r="AO71" s="142"/>
      <c r="AP71" s="142"/>
      <c r="AQ71" s="144"/>
      <c r="AR71" s="142">
        <f t="shared" ref="AR71:AR77" si="59">P71</f>
        <v>0</v>
      </c>
      <c r="AS71" s="170">
        <f t="shared" ref="AS71:AS77" si="60">X71</f>
        <v>0</v>
      </c>
      <c r="AT71" s="142">
        <f t="shared" ref="AT71:AT77" si="61">R71</f>
        <v>0</v>
      </c>
      <c r="AV71" s="142"/>
      <c r="AW71" s="92">
        <f t="shared" ref="AW71:AW76" si="62">P71</f>
        <v>0</v>
      </c>
      <c r="AX71" s="93">
        <f t="shared" ref="AX71:AX76" si="63">R71</f>
        <v>0</v>
      </c>
      <c r="AY71" s="4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Z71" s="64"/>
    </row>
    <row r="72" spans="1:90" ht="15" customHeight="1">
      <c r="B72" s="353">
        <f t="shared" si="8"/>
        <v>0</v>
      </c>
      <c r="C72" s="353">
        <f t="shared" si="9"/>
        <v>0</v>
      </c>
      <c r="D72" s="88">
        <f t="shared" ref="D72:D76" si="64">D71</f>
        <v>1</v>
      </c>
      <c r="G72" s="73"/>
      <c r="H72" s="32"/>
      <c r="I72" s="87" t="s">
        <v>132</v>
      </c>
      <c r="J72" s="68"/>
      <c r="K72" s="68"/>
      <c r="L72" s="68"/>
      <c r="M72" s="68"/>
      <c r="N72" s="68"/>
      <c r="O72" s="68"/>
      <c r="P72" s="73"/>
      <c r="Q72" s="73"/>
      <c r="R72" s="73"/>
      <c r="S72" s="77" t="str">
        <f t="shared" si="54"/>
        <v/>
      </c>
      <c r="T72" s="48"/>
      <c r="U72" s="48"/>
      <c r="V72" s="73"/>
      <c r="W72" s="48"/>
      <c r="X72" s="142"/>
      <c r="Y72" s="142"/>
      <c r="Z72" s="142"/>
      <c r="AA72" s="32"/>
      <c r="AB72" s="73"/>
      <c r="AC72" s="73"/>
      <c r="AD72" s="73"/>
      <c r="AE72" s="73">
        <f t="shared" si="43"/>
        <v>0</v>
      </c>
      <c r="AF72" s="73">
        <f t="shared" si="47"/>
        <v>0</v>
      </c>
      <c r="AG72" s="73"/>
      <c r="AH72" s="73"/>
      <c r="AI72" s="32"/>
      <c r="AJ72" s="421" t="str">
        <f t="shared" si="56"/>
        <v/>
      </c>
      <c r="AK72" s="421" t="str">
        <f t="shared" si="55"/>
        <v/>
      </c>
      <c r="AL72" s="73">
        <f t="shared" si="57"/>
        <v>1</v>
      </c>
      <c r="AM72" s="73">
        <f t="shared" si="58"/>
        <v>1</v>
      </c>
      <c r="AO72" s="142"/>
      <c r="AP72" s="142"/>
      <c r="AQ72" s="144"/>
      <c r="AR72" s="142">
        <f t="shared" si="59"/>
        <v>0</v>
      </c>
      <c r="AS72" s="170">
        <f t="shared" si="60"/>
        <v>0</v>
      </c>
      <c r="AT72" s="142">
        <f t="shared" si="61"/>
        <v>0</v>
      </c>
      <c r="AV72" s="142"/>
      <c r="AW72" s="92">
        <f t="shared" si="62"/>
        <v>0</v>
      </c>
      <c r="AX72" s="93">
        <f t="shared" si="63"/>
        <v>0</v>
      </c>
      <c r="AY72" s="4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Z72" s="64"/>
    </row>
    <row r="73" spans="1:90" ht="15" customHeight="1">
      <c r="B73" s="353">
        <f t="shared" si="8"/>
        <v>0</v>
      </c>
      <c r="C73" s="353">
        <f t="shared" si="9"/>
        <v>0</v>
      </c>
      <c r="D73" s="88">
        <f t="shared" si="64"/>
        <v>1</v>
      </c>
      <c r="G73" s="73"/>
      <c r="H73" s="32"/>
      <c r="I73" s="87" t="s">
        <v>133</v>
      </c>
      <c r="J73" s="68"/>
      <c r="K73" s="68">
        <v>2</v>
      </c>
      <c r="L73" s="68"/>
      <c r="M73" s="68"/>
      <c r="N73" s="68"/>
      <c r="O73" s="68">
        <v>3</v>
      </c>
      <c r="P73" s="73"/>
      <c r="Q73" s="73"/>
      <c r="R73" s="73"/>
      <c r="S73" s="77" t="str">
        <f t="shared" si="54"/>
        <v/>
      </c>
      <c r="T73" s="48"/>
      <c r="U73" s="48"/>
      <c r="V73" s="73">
        <v>3</v>
      </c>
      <c r="W73" s="48"/>
      <c r="X73" s="142"/>
      <c r="Y73" s="142"/>
      <c r="Z73" s="142"/>
      <c r="AA73" s="32"/>
      <c r="AB73" s="73"/>
      <c r="AC73" s="73"/>
      <c r="AD73" s="73"/>
      <c r="AE73" s="73">
        <f t="shared" si="43"/>
        <v>3</v>
      </c>
      <c r="AF73" s="73">
        <f t="shared" si="47"/>
        <v>3</v>
      </c>
      <c r="AG73" s="73"/>
      <c r="AH73" s="73"/>
      <c r="AI73" s="32"/>
      <c r="AJ73" s="421" t="str">
        <f t="shared" si="56"/>
        <v/>
      </c>
      <c r="AK73" s="421" t="str">
        <f t="shared" si="55"/>
        <v/>
      </c>
      <c r="AL73" s="73">
        <f t="shared" si="57"/>
        <v>1</v>
      </c>
      <c r="AM73" s="73">
        <f t="shared" si="58"/>
        <v>1</v>
      </c>
      <c r="AO73" s="142"/>
      <c r="AP73" s="142"/>
      <c r="AQ73" s="144"/>
      <c r="AR73" s="142">
        <f t="shared" si="59"/>
        <v>0</v>
      </c>
      <c r="AS73" s="170">
        <f t="shared" si="60"/>
        <v>0</v>
      </c>
      <c r="AT73" s="142">
        <f t="shared" si="61"/>
        <v>0</v>
      </c>
      <c r="AV73" s="142"/>
      <c r="AW73" s="92">
        <f t="shared" si="62"/>
        <v>0</v>
      </c>
      <c r="AX73" s="93">
        <f t="shared" si="63"/>
        <v>0</v>
      </c>
      <c r="AY73" s="4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Z73" s="64"/>
    </row>
    <row r="74" spans="1:90" ht="15" customHeight="1">
      <c r="B74" s="353">
        <f t="shared" si="8"/>
        <v>0</v>
      </c>
      <c r="C74" s="353">
        <f t="shared" si="9"/>
        <v>0</v>
      </c>
      <c r="D74" s="88">
        <f t="shared" si="64"/>
        <v>1</v>
      </c>
      <c r="G74" s="73"/>
      <c r="H74" s="32"/>
      <c r="I74" s="87" t="s">
        <v>134</v>
      </c>
      <c r="J74" s="68"/>
      <c r="K74" s="68">
        <v>3</v>
      </c>
      <c r="L74" s="68"/>
      <c r="M74" s="68"/>
      <c r="N74" s="68"/>
      <c r="O74" s="68"/>
      <c r="P74" s="73">
        <v>39</v>
      </c>
      <c r="Q74" s="73"/>
      <c r="R74" s="73">
        <v>36</v>
      </c>
      <c r="S74" s="77">
        <f t="shared" si="54"/>
        <v>1.0833333333333333</v>
      </c>
      <c r="T74" s="48"/>
      <c r="U74" s="48"/>
      <c r="V74" s="73"/>
      <c r="W74" s="48"/>
      <c r="X74" s="142">
        <f>(13*3)-(3*3)</f>
        <v>30</v>
      </c>
      <c r="Y74" s="142"/>
      <c r="Z74" s="142"/>
      <c r="AA74" s="32"/>
      <c r="AB74" s="73"/>
      <c r="AC74" s="73"/>
      <c r="AD74" s="73"/>
      <c r="AE74" s="73">
        <f t="shared" si="43"/>
        <v>0</v>
      </c>
      <c r="AF74" s="73">
        <f t="shared" si="47"/>
        <v>0</v>
      </c>
      <c r="AG74" s="73"/>
      <c r="AH74" s="73"/>
      <c r="AI74" s="32"/>
      <c r="AJ74" s="421">
        <f t="shared" si="56"/>
        <v>1.0833333333333333</v>
      </c>
      <c r="AK74" s="421">
        <f t="shared" si="55"/>
        <v>1.0833333333333333</v>
      </c>
      <c r="AL74" s="73">
        <f t="shared" si="57"/>
        <v>1</v>
      </c>
      <c r="AM74" s="73">
        <f t="shared" si="58"/>
        <v>1</v>
      </c>
      <c r="AO74" s="142"/>
      <c r="AP74" s="142"/>
      <c r="AQ74" s="144"/>
      <c r="AR74" s="142">
        <f t="shared" si="59"/>
        <v>39</v>
      </c>
      <c r="AS74" s="170">
        <f t="shared" si="60"/>
        <v>30</v>
      </c>
      <c r="AT74" s="142">
        <f t="shared" si="61"/>
        <v>36</v>
      </c>
      <c r="AV74" s="142"/>
      <c r="AW74" s="92">
        <f t="shared" si="62"/>
        <v>39</v>
      </c>
      <c r="AX74" s="93">
        <f t="shared" si="63"/>
        <v>36</v>
      </c>
      <c r="AY74" s="4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Z74" s="64"/>
    </row>
    <row r="75" spans="1:90" ht="15" customHeight="1">
      <c r="B75" s="353">
        <f t="shared" si="8"/>
        <v>0</v>
      </c>
      <c r="C75" s="353">
        <f t="shared" ref="C75:C88" si="65">IF(J75="x",1,B75)</f>
        <v>0</v>
      </c>
      <c r="D75" s="88">
        <f t="shared" si="64"/>
        <v>1</v>
      </c>
      <c r="G75" s="73"/>
      <c r="H75" s="32"/>
      <c r="I75" s="87" t="s">
        <v>135</v>
      </c>
      <c r="J75" s="68"/>
      <c r="K75" s="68"/>
      <c r="L75" s="68"/>
      <c r="M75" s="68"/>
      <c r="N75" s="68"/>
      <c r="O75" s="68">
        <v>1</v>
      </c>
      <c r="P75" s="73"/>
      <c r="Q75" s="73"/>
      <c r="R75" s="73"/>
      <c r="S75" s="77" t="str">
        <f t="shared" si="54"/>
        <v/>
      </c>
      <c r="T75" s="48"/>
      <c r="U75" s="48"/>
      <c r="V75" s="73"/>
      <c r="W75" s="48"/>
      <c r="X75" s="142"/>
      <c r="Y75" s="142"/>
      <c r="Z75" s="142"/>
      <c r="AA75" s="32"/>
      <c r="AB75" s="73">
        <v>2</v>
      </c>
      <c r="AC75" s="73"/>
      <c r="AD75" s="73"/>
      <c r="AE75" s="73">
        <f t="shared" si="43"/>
        <v>0</v>
      </c>
      <c r="AF75" s="73">
        <f t="shared" si="47"/>
        <v>0</v>
      </c>
      <c r="AG75" s="73"/>
      <c r="AH75" s="73"/>
      <c r="AI75" s="32"/>
      <c r="AJ75" s="421" t="str">
        <f t="shared" si="56"/>
        <v/>
      </c>
      <c r="AK75" s="421" t="str">
        <f t="shared" si="55"/>
        <v/>
      </c>
      <c r="AL75" s="73">
        <f t="shared" si="57"/>
        <v>1</v>
      </c>
      <c r="AM75" s="73">
        <f t="shared" si="58"/>
        <v>1</v>
      </c>
      <c r="AO75" s="142"/>
      <c r="AP75" s="142"/>
      <c r="AQ75" s="144"/>
      <c r="AR75" s="142">
        <f t="shared" si="59"/>
        <v>0</v>
      </c>
      <c r="AS75" s="170">
        <f t="shared" si="60"/>
        <v>0</v>
      </c>
      <c r="AT75" s="142">
        <f t="shared" si="61"/>
        <v>0</v>
      </c>
      <c r="AV75" s="142"/>
      <c r="AW75" s="92">
        <f t="shared" si="62"/>
        <v>0</v>
      </c>
      <c r="AX75" s="93">
        <f t="shared" si="63"/>
        <v>0</v>
      </c>
      <c r="AY75" s="4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Z75" s="64"/>
    </row>
    <row r="76" spans="1:90" ht="15" customHeight="1">
      <c r="B76" s="353">
        <f t="shared" si="8"/>
        <v>0</v>
      </c>
      <c r="C76" s="353">
        <f t="shared" si="65"/>
        <v>1</v>
      </c>
      <c r="D76" s="88">
        <f t="shared" si="64"/>
        <v>1</v>
      </c>
      <c r="G76" s="73"/>
      <c r="H76" s="32"/>
      <c r="I76" s="87" t="s">
        <v>136</v>
      </c>
      <c r="J76" s="68" t="s">
        <v>21</v>
      </c>
      <c r="K76" s="68"/>
      <c r="L76" s="68"/>
      <c r="M76" s="68"/>
      <c r="N76" s="68"/>
      <c r="O76" s="68">
        <v>2</v>
      </c>
      <c r="P76" s="73">
        <v>16</v>
      </c>
      <c r="Q76" s="73">
        <v>-21</v>
      </c>
      <c r="R76" s="73">
        <v>33</v>
      </c>
      <c r="S76" s="77">
        <f t="shared" si="54"/>
        <v>0.48484848484848486</v>
      </c>
      <c r="T76" s="48"/>
      <c r="U76" s="48"/>
      <c r="V76" s="73"/>
      <c r="W76" s="48"/>
      <c r="X76" s="142"/>
      <c r="Y76" s="142"/>
      <c r="Z76" s="142"/>
      <c r="AA76" s="32"/>
      <c r="AB76" s="73">
        <v>2</v>
      </c>
      <c r="AC76" s="73"/>
      <c r="AD76" s="73"/>
      <c r="AE76" s="73">
        <f t="shared" si="43"/>
        <v>0</v>
      </c>
      <c r="AF76" s="73">
        <f t="shared" si="47"/>
        <v>0</v>
      </c>
      <c r="AG76" s="73"/>
      <c r="AH76" s="73"/>
      <c r="AI76" s="32"/>
      <c r="AJ76" s="421">
        <f t="shared" si="56"/>
        <v>0.48484848484848486</v>
      </c>
      <c r="AK76" s="421" t="str">
        <f t="shared" si="55"/>
        <v/>
      </c>
      <c r="AL76" s="73">
        <f t="shared" si="57"/>
        <v>0</v>
      </c>
      <c r="AM76" s="73">
        <f t="shared" si="58"/>
        <v>1</v>
      </c>
      <c r="AO76" s="142"/>
      <c r="AP76" s="142"/>
      <c r="AQ76" s="144"/>
      <c r="AR76" s="142">
        <f t="shared" si="59"/>
        <v>16</v>
      </c>
      <c r="AS76" s="170">
        <f t="shared" si="60"/>
        <v>0</v>
      </c>
      <c r="AT76" s="142">
        <f t="shared" si="61"/>
        <v>33</v>
      </c>
      <c r="AV76" s="142"/>
      <c r="AW76" s="92">
        <f t="shared" si="62"/>
        <v>16</v>
      </c>
      <c r="AX76" s="93">
        <f t="shared" si="63"/>
        <v>33</v>
      </c>
      <c r="AY76" s="4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Z76" s="64"/>
    </row>
    <row r="77" spans="1:90" ht="15" customHeight="1">
      <c r="B77" s="353">
        <f t="shared" ref="B77" si="66">IF(J77=1,1,0)</f>
        <v>0</v>
      </c>
      <c r="C77" s="353">
        <f t="shared" si="65"/>
        <v>0</v>
      </c>
      <c r="D77" s="88">
        <v>1</v>
      </c>
      <c r="G77" s="73"/>
      <c r="H77" s="32"/>
      <c r="I77" s="87" t="s">
        <v>356</v>
      </c>
      <c r="J77" s="68"/>
      <c r="K77" s="68"/>
      <c r="L77" s="68"/>
      <c r="M77" s="68"/>
      <c r="N77" s="68"/>
      <c r="O77" s="68"/>
      <c r="P77" s="73"/>
      <c r="Q77" s="73"/>
      <c r="R77" s="73"/>
      <c r="S77" s="77"/>
      <c r="T77" s="48"/>
      <c r="U77" s="48"/>
      <c r="V77" s="73"/>
      <c r="W77" s="48"/>
      <c r="X77" s="142"/>
      <c r="Y77" s="142"/>
      <c r="Z77" s="142"/>
      <c r="AA77" s="32"/>
      <c r="AB77" s="73"/>
      <c r="AC77" s="73"/>
      <c r="AD77" s="73"/>
      <c r="AE77" s="73">
        <f t="shared" si="43"/>
        <v>0</v>
      </c>
      <c r="AF77" s="73">
        <f t="shared" si="47"/>
        <v>0</v>
      </c>
      <c r="AG77" s="73"/>
      <c r="AH77" s="73"/>
      <c r="AI77" s="32"/>
      <c r="AJ77" s="421">
        <f t="shared" si="56"/>
        <v>0</v>
      </c>
      <c r="AK77" s="421" t="str">
        <f t="shared" si="55"/>
        <v/>
      </c>
      <c r="AL77" s="73">
        <f t="shared" si="57"/>
        <v>0</v>
      </c>
      <c r="AM77" s="73">
        <f t="shared" si="58"/>
        <v>0</v>
      </c>
      <c r="AO77" s="143"/>
      <c r="AP77" s="143"/>
      <c r="AQ77" s="144"/>
      <c r="AR77" s="142">
        <f t="shared" si="59"/>
        <v>0</v>
      </c>
      <c r="AS77" s="170">
        <f t="shared" si="60"/>
        <v>0</v>
      </c>
      <c r="AT77" s="142">
        <f t="shared" si="61"/>
        <v>0</v>
      </c>
      <c r="AV77" s="142"/>
      <c r="AW77" s="92"/>
      <c r="AX77" s="93"/>
      <c r="AY77" s="4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Z77" s="64"/>
    </row>
    <row r="78" spans="1:90" ht="15" customHeight="1">
      <c r="A78" s="211"/>
      <c r="B78" s="353">
        <f>SUM(B48:B65)</f>
        <v>4</v>
      </c>
      <c r="C78" s="352">
        <f t="shared" ref="C78" si="67">SUM(C46:C77)</f>
        <v>13</v>
      </c>
      <c r="D78" s="352">
        <f>SUM(D46:D77)</f>
        <v>21</v>
      </c>
      <c r="G78" s="28">
        <f>SUM(G48:G76)</f>
        <v>4</v>
      </c>
      <c r="H78" s="32"/>
      <c r="I78" s="25" t="str">
        <f>CL78</f>
        <v>nombre de dossiers = 5 / 21 = 23,8%</v>
      </c>
      <c r="J78" s="80">
        <f>B79</f>
        <v>5</v>
      </c>
      <c r="K78" s="80">
        <f>SUM(K66:K77)</f>
        <v>10</v>
      </c>
      <c r="L78" s="26">
        <f>SUM(L48:L76)</f>
        <v>1</v>
      </c>
      <c r="M78" s="26">
        <f>SUM(M48:M76)</f>
        <v>1</v>
      </c>
      <c r="N78" s="26">
        <f>SUM(N48:N76)</f>
        <v>2</v>
      </c>
      <c r="O78" s="263">
        <f>SUM(O48:O77)</f>
        <v>49</v>
      </c>
      <c r="P78" s="263">
        <f>P79-AS78</f>
        <v>288</v>
      </c>
      <c r="Q78" s="263">
        <f>SUM(Q48:Q76)</f>
        <v>113</v>
      </c>
      <c r="R78" s="263">
        <f>AT79</f>
        <v>397</v>
      </c>
      <c r="S78" s="81">
        <f>P78/R78</f>
        <v>0.72544080604534</v>
      </c>
      <c r="T78" s="48"/>
      <c r="U78" s="48"/>
      <c r="V78" s="28">
        <f>SUM(V48:V76)</f>
        <v>50</v>
      </c>
      <c r="W78" s="48"/>
      <c r="X78" s="156">
        <f>AS78</f>
        <v>54</v>
      </c>
      <c r="Y78" s="156">
        <f>SUM(Y48:Y76)</f>
        <v>101</v>
      </c>
      <c r="Z78" s="252"/>
      <c r="AA78" s="42"/>
      <c r="AB78" s="156">
        <f>SUM(AB48:AB77)</f>
        <v>73</v>
      </c>
      <c r="AC78" s="156">
        <f>SUM(AC48:AC77)</f>
        <v>17</v>
      </c>
      <c r="AD78" s="156"/>
      <c r="AE78" s="156">
        <f>SUM(AE48:AE77)</f>
        <v>29</v>
      </c>
      <c r="AF78" s="156">
        <f>SUM(AF48:AF77)</f>
        <v>46</v>
      </c>
      <c r="AG78" s="156">
        <f t="shared" ref="AG78:AH78" si="68">SUM(AG48:AG77)</f>
        <v>0</v>
      </c>
      <c r="AH78" s="156">
        <f t="shared" si="68"/>
        <v>1</v>
      </c>
      <c r="AI78" s="42"/>
      <c r="AJ78" s="421"/>
      <c r="AK78" s="421" t="str">
        <f t="shared" si="55"/>
        <v/>
      </c>
      <c r="AL78" s="73">
        <f t="shared" si="57"/>
        <v>0</v>
      </c>
      <c r="AM78" s="73"/>
      <c r="AO78" s="153">
        <f>SUM(AO48:AO76)</f>
        <v>49</v>
      </c>
      <c r="AP78" s="153">
        <f>SUM(AP48:AP76)</f>
        <v>5</v>
      </c>
      <c r="AQ78" s="32"/>
      <c r="AR78" s="152">
        <f>SUM(AR48:AR77)</f>
        <v>342</v>
      </c>
      <c r="AS78" s="172">
        <f>SUM(AS48:AS77)</f>
        <v>54</v>
      </c>
      <c r="AT78" s="152">
        <f>SUM(AT48:AT77)</f>
        <v>451</v>
      </c>
      <c r="AV78" s="28">
        <f>SUM(AV48:AV76)</f>
        <v>1210</v>
      </c>
      <c r="AW78" s="92"/>
      <c r="AX78" s="93"/>
      <c r="AY78" s="4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V78" s="5" t="s">
        <v>363</v>
      </c>
      <c r="BW78" s="5"/>
      <c r="BX78" s="5" t="s">
        <v>147</v>
      </c>
      <c r="BY78" s="63">
        <f>B79</f>
        <v>5</v>
      </c>
      <c r="BZ78" s="64" t="s">
        <v>95</v>
      </c>
      <c r="CA78">
        <f>D79</f>
        <v>21</v>
      </c>
      <c r="CB78" s="65">
        <f>BY78/CA78</f>
        <v>0.23809523809523808</v>
      </c>
      <c r="CC78">
        <f>CB78*100</f>
        <v>23.809523809523807</v>
      </c>
      <c r="CD78">
        <f>INT(CC78)</f>
        <v>23</v>
      </c>
      <c r="CE78">
        <f>CC78-CD78</f>
        <v>0.80952380952380665</v>
      </c>
      <c r="CF78" t="str">
        <f>MID(CE78,1,4)</f>
        <v>0,80</v>
      </c>
      <c r="CG78">
        <f>CD78+CF78</f>
        <v>23.8</v>
      </c>
      <c r="CH78" t="s">
        <v>149</v>
      </c>
      <c r="CI78" t="str">
        <f>BX78</f>
        <v xml:space="preserve"> = </v>
      </c>
      <c r="CJ78" t="str">
        <f>CG78&amp;CH78</f>
        <v>23,8%</v>
      </c>
      <c r="CL78" t="str">
        <f>BV78&amp;BX78&amp;BY78&amp;BZ78&amp;CA78&amp;CI78&amp;CJ78</f>
        <v>nombre de dossiers = 5 / 21 = 23,8%</v>
      </c>
    </row>
    <row r="79" spans="1:90">
      <c r="B79" s="352">
        <f>SUM(B46:B77)</f>
        <v>5</v>
      </c>
      <c r="D79" s="88">
        <f>D78</f>
        <v>21</v>
      </c>
      <c r="G79" s="73"/>
      <c r="H79" s="32"/>
      <c r="I79" s="82" t="s">
        <v>353</v>
      </c>
      <c r="J79" s="32"/>
      <c r="K79" s="32"/>
      <c r="L79" s="32"/>
      <c r="M79" s="32"/>
      <c r="N79" s="32"/>
      <c r="O79" s="32"/>
      <c r="P79" s="32">
        <f>AR78</f>
        <v>342</v>
      </c>
      <c r="Q79" s="32"/>
      <c r="R79" s="32">
        <f>AT78</f>
        <v>451</v>
      </c>
      <c r="S79" s="48">
        <f>P79/R79</f>
        <v>0.75831485587583147</v>
      </c>
      <c r="T79" s="48"/>
      <c r="U79" s="48"/>
      <c r="V79" s="32"/>
      <c r="W79" s="48"/>
      <c r="X79" s="144"/>
      <c r="Y79" s="144">
        <f>Y78+X78</f>
        <v>155</v>
      </c>
      <c r="Z79" s="144"/>
      <c r="AA79" s="32"/>
      <c r="AB79" s="38"/>
      <c r="AC79" s="32"/>
      <c r="AD79" s="32"/>
      <c r="AE79" s="144"/>
      <c r="AF79" s="144"/>
      <c r="AG79" s="144"/>
      <c r="AH79" s="144"/>
      <c r="AI79" s="144"/>
      <c r="AJ79" s="421">
        <f>SUM(AJ5:AJ78)</f>
        <v>47.701861000315795</v>
      </c>
      <c r="AK79" s="73">
        <f>AL79</f>
        <v>27</v>
      </c>
      <c r="AL79" s="73">
        <f>SUM(AL5:AL78)</f>
        <v>27</v>
      </c>
      <c r="AM79" s="156">
        <f>SUM(AM5:AM78)</f>
        <v>50</v>
      </c>
      <c r="AO79" s="199"/>
      <c r="AP79" s="143"/>
      <c r="AQ79" s="144"/>
      <c r="AR79" s="207">
        <f>AR78-AS78</f>
        <v>288</v>
      </c>
      <c r="AS79" s="202"/>
      <c r="AT79" s="201">
        <f>AT78-AS78</f>
        <v>397</v>
      </c>
      <c r="AV79" s="143"/>
      <c r="AW79" s="112"/>
      <c r="AX79" s="178"/>
      <c r="AY79" s="4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V79" t="str">
        <f>I47</f>
        <v>Analyse</v>
      </c>
      <c r="BX79" t="str">
        <f>BX29</f>
        <v xml:space="preserve"> ( </v>
      </c>
      <c r="BY79" s="63">
        <f>BY78</f>
        <v>5</v>
      </c>
      <c r="BZ79" s="64" t="s">
        <v>95</v>
      </c>
      <c r="CA79">
        <f>CA78</f>
        <v>21</v>
      </c>
      <c r="CB79" t="s">
        <v>154</v>
      </c>
      <c r="CC79">
        <f>BY79/CA79</f>
        <v>0.23809523809523808</v>
      </c>
      <c r="CD79">
        <f>INT(CC79)</f>
        <v>0</v>
      </c>
      <c r="CE79">
        <f>CC79-CD79</f>
        <v>0.23809523809523808</v>
      </c>
      <c r="CF79" t="str">
        <f>MID(CE79,1,4)</f>
        <v>0,23</v>
      </c>
      <c r="CG79">
        <f>CG78</f>
        <v>23.8</v>
      </c>
      <c r="CH79" t="str">
        <f>CH78</f>
        <v>%</v>
      </c>
      <c r="CI79" t="str">
        <f>CI78</f>
        <v xml:space="preserve"> = </v>
      </c>
      <c r="CJ79" t="str">
        <f>CG79&amp;CH79</f>
        <v>23,8%</v>
      </c>
      <c r="CK79" t="str">
        <f>CK29</f>
        <v xml:space="preserve"> ) </v>
      </c>
      <c r="CL79" t="str">
        <f>BV79&amp;BX79&amp;BY79&amp;CB79&amp;BZ79&amp;CA79&amp;CI79&amp;CJ79&amp;CK79</f>
        <v xml:space="preserve">Analyse ( 5 dossiers / 21 = 23,8% ) </v>
      </c>
    </row>
    <row r="80" spans="1:90" ht="15.75" thickBot="1">
      <c r="D80" s="88"/>
      <c r="G80" s="73"/>
      <c r="H80" s="32"/>
      <c r="I80" s="82"/>
      <c r="J80" s="32"/>
      <c r="K80" s="32"/>
      <c r="L80" s="32"/>
      <c r="M80" s="32"/>
      <c r="N80" s="32"/>
      <c r="O80" s="32"/>
      <c r="P80" s="32"/>
      <c r="Q80" s="32"/>
      <c r="R80" s="32"/>
      <c r="S80" s="48"/>
      <c r="T80" s="48"/>
      <c r="U80" s="48"/>
      <c r="V80" s="32"/>
      <c r="W80" s="48"/>
      <c r="X80" s="144"/>
      <c r="Y80" s="144"/>
      <c r="Z80" s="144"/>
      <c r="AA80" s="32"/>
      <c r="AB80" s="32"/>
      <c r="AC80" s="32"/>
      <c r="AD80" s="32"/>
      <c r="AE80" s="144"/>
      <c r="AF80" s="144"/>
      <c r="AG80" s="144"/>
      <c r="AH80" s="144"/>
      <c r="AI80" s="144"/>
      <c r="AJ80" s="176"/>
      <c r="AK80" s="176"/>
      <c r="AL80" s="73">
        <f>AM79</f>
        <v>50</v>
      </c>
      <c r="AM80" s="422">
        <f>AJ79/AM79</f>
        <v>0.95403722000631586</v>
      </c>
      <c r="AO80" s="144"/>
      <c r="AP80" s="144"/>
      <c r="AQ80" s="144"/>
      <c r="AR80" s="191"/>
      <c r="AS80" s="191"/>
      <c r="AT80" s="191"/>
      <c r="AV80" s="144"/>
      <c r="AW80" s="253"/>
      <c r="AX80" s="253"/>
      <c r="AY80" s="253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Y80" s="63"/>
      <c r="BZ80" s="64"/>
    </row>
    <row r="81" spans="1:99" s="3" customFormat="1" ht="15.75" thickBot="1">
      <c r="B81" s="350"/>
      <c r="C81" s="353">
        <f t="shared" si="65"/>
        <v>0</v>
      </c>
      <c r="D81" s="42"/>
      <c r="G81" s="28"/>
      <c r="H81" s="32"/>
      <c r="I81" s="391" t="s">
        <v>42</v>
      </c>
      <c r="J81" s="391">
        <f>J61</f>
        <v>0</v>
      </c>
      <c r="K81" s="392"/>
      <c r="L81" s="393" t="s">
        <v>98</v>
      </c>
      <c r="M81" s="393"/>
      <c r="N81" s="396" t="s">
        <v>381</v>
      </c>
      <c r="O81" s="393" t="s">
        <v>17</v>
      </c>
      <c r="P81" s="395" t="s">
        <v>361</v>
      </c>
      <c r="Q81" s="394" t="s">
        <v>97</v>
      </c>
      <c r="R81" s="400" t="s">
        <v>27</v>
      </c>
      <c r="S81" s="397" t="s">
        <v>104</v>
      </c>
      <c r="T81" s="48"/>
      <c r="U81" s="48"/>
      <c r="V81" s="28" t="s">
        <v>138</v>
      </c>
      <c r="W81" s="48"/>
      <c r="X81" s="152" t="s">
        <v>295</v>
      </c>
      <c r="Y81" s="152" t="s">
        <v>296</v>
      </c>
      <c r="Z81" s="152"/>
      <c r="AA81" s="144"/>
      <c r="AB81" s="28" t="s">
        <v>17</v>
      </c>
      <c r="AC81" s="28"/>
      <c r="AD81" s="28"/>
      <c r="AE81" s="28" t="str">
        <f>AE4</f>
        <v>1/2 D</v>
      </c>
      <c r="AF81" s="152"/>
      <c r="AG81" s="28"/>
      <c r="AH81" s="28"/>
      <c r="AI81" s="32"/>
      <c r="AJ81" s="68"/>
      <c r="AK81" s="32"/>
      <c r="AL81" s="215">
        <f>AL79/AL80</f>
        <v>0.54</v>
      </c>
      <c r="AM81" s="74"/>
      <c r="AO81" s="144"/>
      <c r="AP81" s="144"/>
      <c r="AQ81" s="144"/>
      <c r="AR81" s="191"/>
      <c r="AS81" s="191"/>
      <c r="AT81" s="191"/>
      <c r="AV81" s="144"/>
      <c r="AW81" s="4"/>
      <c r="AX81" s="4"/>
      <c r="AY81" s="4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V81" s="3" t="str">
        <f>I31</f>
        <v>Géométrie</v>
      </c>
      <c r="BX81" t="str">
        <f>BX79</f>
        <v xml:space="preserve"> ( </v>
      </c>
      <c r="BY81" s="63">
        <f>BY44</f>
        <v>3</v>
      </c>
      <c r="BZ81" s="64" t="s">
        <v>95</v>
      </c>
      <c r="CA81">
        <f>CA44</f>
        <v>11</v>
      </c>
      <c r="CB81" t="s">
        <v>154</v>
      </c>
      <c r="CC81">
        <f>BY81/CA81</f>
        <v>0.27272727272727271</v>
      </c>
      <c r="CD81">
        <f>INT(CC81)</f>
        <v>0</v>
      </c>
      <c r="CE81">
        <f>CC81-CD81</f>
        <v>0.27272727272727271</v>
      </c>
      <c r="CF81" t="str">
        <f>MID(CE81,1,4)</f>
        <v>0,27</v>
      </c>
      <c r="CG81">
        <f>CG44</f>
        <v>27.27</v>
      </c>
      <c r="CH81" t="str">
        <f>CH44</f>
        <v>%</v>
      </c>
      <c r="CI81" t="str">
        <f>CI44</f>
        <v xml:space="preserve"> = </v>
      </c>
      <c r="CJ81" t="str">
        <f>CG81&amp;CH81</f>
        <v>27,27%</v>
      </c>
      <c r="CK81" t="str">
        <f>CK79</f>
        <v xml:space="preserve"> ) </v>
      </c>
      <c r="CL81" t="str">
        <f>BV81&amp;BX81&amp;BY81&amp;CB81&amp;BZ81&amp;CA81&amp;CI81&amp;CJ81&amp;CK81</f>
        <v xml:space="preserve">Géométrie ( 3 dossiers / 11 = 27,27% ) </v>
      </c>
      <c r="CM81"/>
    </row>
    <row r="82" spans="1:99">
      <c r="B82" s="353">
        <f>IF(J84=1,1,0)</f>
        <v>0</v>
      </c>
      <c r="C82" s="353">
        <f t="shared" si="65"/>
        <v>0</v>
      </c>
      <c r="D82" s="42">
        <f>D28+D78+D45</f>
        <v>55</v>
      </c>
      <c r="E82">
        <f>E45+1</f>
        <v>1</v>
      </c>
      <c r="G82" s="83"/>
      <c r="H82" s="32"/>
      <c r="I82" s="388" t="str">
        <f>CL45</f>
        <v>nombre de dossiers = 20 / 55 = 36,36%</v>
      </c>
      <c r="J82" s="388">
        <f>J44+J78+J28</f>
        <v>20</v>
      </c>
      <c r="K82" s="375">
        <f>K78</f>
        <v>10</v>
      </c>
      <c r="L82" s="376">
        <f t="shared" ref="L82:Q82" si="69">L44+L78+L28</f>
        <v>4</v>
      </c>
      <c r="M82" s="376">
        <f t="shared" si="69"/>
        <v>2</v>
      </c>
      <c r="N82" s="404">
        <f t="shared" si="69"/>
        <v>7</v>
      </c>
      <c r="O82" s="403">
        <f t="shared" si="69"/>
        <v>97.5</v>
      </c>
      <c r="P82" s="380">
        <f t="shared" si="69"/>
        <v>758</v>
      </c>
      <c r="Q82" s="381">
        <f t="shared" si="69"/>
        <v>116</v>
      </c>
      <c r="R82" s="401">
        <f>R28+R78+R44</f>
        <v>854</v>
      </c>
      <c r="S82" s="385">
        <f>P82/R82</f>
        <v>0.88758782201405151</v>
      </c>
      <c r="T82" s="48"/>
      <c r="U82" s="48"/>
      <c r="V82" s="83">
        <f>V44+V78+V28</f>
        <v>95</v>
      </c>
      <c r="W82" s="48"/>
      <c r="X82" s="145">
        <f>AS82</f>
        <v>57</v>
      </c>
      <c r="Y82" s="145">
        <f>Y44+Y78+Y28</f>
        <v>119</v>
      </c>
      <c r="Z82" s="145"/>
      <c r="AA82" s="144"/>
      <c r="AB82" s="83">
        <f>AB44+AB78+AB28</f>
        <v>153.5</v>
      </c>
      <c r="AC82" s="83"/>
      <c r="AD82" s="83"/>
      <c r="AE82" s="83">
        <f>AE44+AE78+AE28</f>
        <v>86</v>
      </c>
      <c r="AF82" s="142">
        <f>AF28</f>
        <v>20</v>
      </c>
      <c r="AG82" s="73"/>
      <c r="AH82" s="73"/>
      <c r="AI82" s="32"/>
      <c r="AJ82" s="68"/>
      <c r="AK82" s="32"/>
      <c r="AL82" s="32"/>
      <c r="AM82" s="74"/>
      <c r="AO82" s="152">
        <f>AO44+AO78+AO28</f>
        <v>64</v>
      </c>
      <c r="AP82" s="152">
        <f>AP44+AP78+AP28</f>
        <v>9</v>
      </c>
      <c r="AQ82" s="144"/>
      <c r="AR82" s="152">
        <f>AR44+AR78+AR28</f>
        <v>815</v>
      </c>
      <c r="AS82" s="172">
        <f>AS44+AS78+AS28</f>
        <v>57</v>
      </c>
      <c r="AT82" s="152">
        <f>AT44+AT78+AT28</f>
        <v>911</v>
      </c>
      <c r="AU82" s="3"/>
      <c r="AV82" s="152"/>
      <c r="AW82" s="299">
        <f>AW44/J94</f>
        <v>656.94444444444446</v>
      </c>
      <c r="AX82" s="300">
        <f>AX44/J94</f>
        <v>638.88888888888891</v>
      </c>
      <c r="AY82" s="4"/>
      <c r="AZ82" s="41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</row>
    <row r="83" spans="1:99">
      <c r="D83" s="42"/>
      <c r="G83" s="86"/>
      <c r="H83" s="272"/>
      <c r="I83" s="389" t="s">
        <v>365</v>
      </c>
      <c r="J83" s="389">
        <f>B94</f>
        <v>16</v>
      </c>
      <c r="K83" s="377"/>
      <c r="L83" s="374"/>
      <c r="M83" s="374"/>
      <c r="N83" s="405"/>
      <c r="O83" s="68"/>
      <c r="P83" s="73"/>
      <c r="Q83" s="382"/>
      <c r="R83" s="74"/>
      <c r="S83" s="386"/>
      <c r="T83" s="48"/>
      <c r="U83" s="48"/>
      <c r="V83" s="73"/>
      <c r="W83" s="48"/>
      <c r="X83" s="142"/>
      <c r="Y83" s="142"/>
      <c r="Z83" s="142"/>
      <c r="AA83" s="144"/>
      <c r="AB83" s="73"/>
      <c r="AC83" s="73"/>
      <c r="AD83" s="73"/>
      <c r="AE83" s="73"/>
      <c r="AF83" s="142">
        <f>AF44</f>
        <v>37</v>
      </c>
      <c r="AG83" s="73"/>
      <c r="AH83" s="73"/>
      <c r="AI83" s="32"/>
      <c r="AJ83" s="68"/>
      <c r="AK83" s="32"/>
      <c r="AL83" s="32"/>
      <c r="AM83" s="74"/>
      <c r="AO83" s="199"/>
      <c r="AP83" s="167"/>
      <c r="AQ83" s="144"/>
      <c r="AR83" s="213"/>
      <c r="AS83" s="172"/>
      <c r="AT83" s="152"/>
      <c r="AU83" s="3"/>
      <c r="AV83" s="199"/>
      <c r="AW83" s="209"/>
      <c r="AX83" s="178"/>
      <c r="AY83" s="4"/>
      <c r="AZ83" s="41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V83" s="3"/>
      <c r="BW83" s="3"/>
      <c r="BY83" s="63"/>
      <c r="BZ83" s="64"/>
      <c r="CN83" s="3"/>
    </row>
    <row r="84" spans="1:99" ht="15.75" thickBot="1">
      <c r="C84" s="353">
        <f t="shared" si="65"/>
        <v>0</v>
      </c>
      <c r="D84" s="42"/>
      <c r="G84" s="153"/>
      <c r="H84" s="32"/>
      <c r="I84" s="390" t="s">
        <v>366</v>
      </c>
      <c r="J84" s="390">
        <f>J82+J83</f>
        <v>36</v>
      </c>
      <c r="K84" s="378"/>
      <c r="L84" s="379">
        <f>L82+M82</f>
        <v>6</v>
      </c>
      <c r="M84" s="379"/>
      <c r="N84" s="406"/>
      <c r="O84" s="407"/>
      <c r="P84" s="383">
        <f>AR82</f>
        <v>815</v>
      </c>
      <c r="Q84" s="384"/>
      <c r="R84" s="402">
        <f>AT82</f>
        <v>911</v>
      </c>
      <c r="S84" s="387">
        <f>P84/R84</f>
        <v>0.89462129527991219</v>
      </c>
      <c r="T84" s="48"/>
      <c r="U84" s="48"/>
      <c r="V84" s="153"/>
      <c r="W84" s="48"/>
      <c r="X84" s="143">
        <f>X82</f>
        <v>57</v>
      </c>
      <c r="Y84" s="143">
        <f>X82+Y82</f>
        <v>176</v>
      </c>
      <c r="Z84" s="143"/>
      <c r="AA84" s="144"/>
      <c r="AB84" s="153"/>
      <c r="AC84" s="153"/>
      <c r="AD84" s="153"/>
      <c r="AE84" s="153"/>
      <c r="AF84" s="143">
        <f>AF78</f>
        <v>46</v>
      </c>
      <c r="AG84" s="153"/>
      <c r="AH84" s="153"/>
      <c r="AI84" s="32"/>
      <c r="AJ84" s="212"/>
      <c r="AK84" s="34"/>
      <c r="AL84" s="34"/>
      <c r="AM84" s="210"/>
      <c r="AO84" s="199"/>
      <c r="AP84" s="167"/>
      <c r="AQ84" s="144"/>
      <c r="AR84" s="200">
        <f>AR82-AS82</f>
        <v>758</v>
      </c>
      <c r="AS84" s="171"/>
      <c r="AT84" s="152">
        <f>AT78-AS78</f>
        <v>397</v>
      </c>
      <c r="AU84" s="3"/>
      <c r="AV84" s="199"/>
      <c r="AW84" s="209"/>
      <c r="AX84" s="178"/>
      <c r="AY84" s="4"/>
      <c r="AZ84" s="41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V84" s="3"/>
      <c r="BW84" s="3"/>
      <c r="BX84" t="s">
        <v>387</v>
      </c>
      <c r="BY84" s="63">
        <f>G93</f>
        <v>21</v>
      </c>
      <c r="BZ84" s="64" t="s">
        <v>95</v>
      </c>
      <c r="CA84">
        <f>C93</f>
        <v>55</v>
      </c>
      <c r="CB84" s="65" t="s">
        <v>386</v>
      </c>
      <c r="CC84">
        <f>BY84/CA84</f>
        <v>0.38181818181818183</v>
      </c>
      <c r="CD84">
        <f>INT(CC84)</f>
        <v>0</v>
      </c>
      <c r="CE84">
        <f>CC84-CD84</f>
        <v>0.38181818181818183</v>
      </c>
      <c r="CF84" t="str">
        <f>IF(CE84=0,CD84,MID(CE84,1,4))</f>
        <v>0,38</v>
      </c>
      <c r="CG84">
        <f>CG46</f>
        <v>38.18</v>
      </c>
      <c r="CH84" t="str">
        <f>CH46</f>
        <v>%</v>
      </c>
      <c r="CI84" t="s">
        <v>147</v>
      </c>
      <c r="CJ84" t="str">
        <f>CG84&amp;CH84</f>
        <v>38,18%</v>
      </c>
      <c r="CK84" t="str">
        <f>CK81</f>
        <v xml:space="preserve"> ) </v>
      </c>
      <c r="CL84" t="str">
        <f>BV84&amp;BX84&amp;BY84&amp;CB84&amp;BZ84&amp;CA84&amp;CI84&amp;CJ84&amp;CK84</f>
        <v xml:space="preserve">( 21 dossiers modifiés  / 55 = 38,18% ) </v>
      </c>
      <c r="CN84" s="3"/>
    </row>
    <row r="85" spans="1:99">
      <c r="D85" s="42"/>
      <c r="G85" s="73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48"/>
      <c r="T85" s="48"/>
      <c r="U85" s="48"/>
      <c r="V85" s="32"/>
      <c r="W85" s="48"/>
      <c r="X85" s="144"/>
      <c r="Y85" s="144"/>
      <c r="Z85" s="144"/>
      <c r="AA85" s="144"/>
      <c r="AB85" s="32"/>
      <c r="AC85" s="32"/>
      <c r="AD85" s="32"/>
      <c r="AE85" s="144"/>
      <c r="AF85" s="144"/>
      <c r="AG85" s="144"/>
      <c r="AH85" s="144"/>
      <c r="AI85" s="144"/>
      <c r="AJ85" s="144"/>
      <c r="AK85" s="144"/>
      <c r="AL85" s="144"/>
      <c r="AM85" s="144"/>
      <c r="AO85" s="144"/>
      <c r="AP85" s="144"/>
      <c r="AQ85" s="144"/>
      <c r="AR85" s="191"/>
      <c r="AS85" s="191"/>
      <c r="AT85" s="144"/>
      <c r="AU85" s="3"/>
      <c r="AV85" s="144"/>
      <c r="AW85" s="253"/>
      <c r="AX85" s="253"/>
      <c r="AY85" s="253"/>
      <c r="AZ85" s="41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V85" s="3"/>
      <c r="BW85" s="3"/>
      <c r="BY85" s="63"/>
      <c r="BZ85" s="64"/>
      <c r="CB85" s="65"/>
      <c r="CN85" s="3"/>
    </row>
    <row r="86" spans="1:99" s="3" customFormat="1">
      <c r="B86" s="350"/>
      <c r="C86" s="350">
        <f t="shared" si="65"/>
        <v>0</v>
      </c>
      <c r="D86" s="350"/>
      <c r="G86" s="275"/>
      <c r="H86" s="273"/>
      <c r="I86" s="447" t="s">
        <v>389</v>
      </c>
      <c r="J86" s="448"/>
      <c r="K86" s="448"/>
      <c r="L86" s="448"/>
      <c r="M86" s="448"/>
      <c r="N86" s="448"/>
      <c r="O86" s="448"/>
      <c r="P86" s="448"/>
      <c r="Q86" s="448"/>
      <c r="R86" s="448"/>
      <c r="S86" s="449"/>
      <c r="X86" s="191"/>
      <c r="Y86" s="191"/>
      <c r="Z86" s="191"/>
      <c r="AA86" s="4"/>
      <c r="AB86" s="257" t="s">
        <v>390</v>
      </c>
      <c r="AC86" s="183"/>
      <c r="AD86" s="346"/>
      <c r="AE86" s="145"/>
      <c r="AF86" s="145"/>
      <c r="AG86" s="145"/>
      <c r="AH86" s="145"/>
      <c r="AI86" s="144"/>
      <c r="AJ86" s="144"/>
      <c r="AK86" s="144"/>
      <c r="AL86" s="144"/>
      <c r="AM86" s="144"/>
      <c r="AO86" s="191"/>
      <c r="AP86" s="191"/>
      <c r="AQ86" s="191"/>
      <c r="AR86" s="191"/>
      <c r="AS86" s="191"/>
      <c r="AT86" s="191"/>
      <c r="AV86" s="191"/>
      <c r="AW86" s="4"/>
      <c r="AX86" s="4"/>
      <c r="AY86" s="4"/>
    </row>
    <row r="87" spans="1:99" s="3" customFormat="1">
      <c r="B87" s="353">
        <f t="shared" ref="B87:B88" si="70">IF(J87=1,1,0)</f>
        <v>0</v>
      </c>
      <c r="C87" s="353">
        <f t="shared" si="65"/>
        <v>0</v>
      </c>
      <c r="D87" s="42"/>
      <c r="G87" s="222" t="s">
        <v>377</v>
      </c>
      <c r="H87" s="42"/>
      <c r="I87" s="229"/>
      <c r="J87" s="35"/>
      <c r="K87" s="268"/>
      <c r="L87" s="268"/>
      <c r="M87" s="269"/>
      <c r="N87" s="36"/>
      <c r="O87" s="36" t="s">
        <v>380</v>
      </c>
      <c r="P87" s="36"/>
      <c r="Q87" s="260"/>
      <c r="R87" s="465" t="s">
        <v>87</v>
      </c>
      <c r="S87" s="466"/>
      <c r="T87" s="42"/>
      <c r="U87" s="42"/>
      <c r="V87" s="222"/>
      <c r="W87" s="42"/>
      <c r="X87" s="459" t="s">
        <v>291</v>
      </c>
      <c r="Y87" s="460"/>
      <c r="Z87" s="225"/>
      <c r="AB87" s="229"/>
      <c r="AC87" s="304"/>
      <c r="AD87" s="304"/>
      <c r="AE87" s="142"/>
      <c r="AF87" s="142"/>
      <c r="AG87" s="142"/>
      <c r="AH87" s="142"/>
      <c r="AI87" s="144"/>
      <c r="AJ87" s="144"/>
      <c r="AK87" s="144"/>
      <c r="AL87" s="144"/>
      <c r="AM87" s="144"/>
      <c r="AO87" s="147"/>
      <c r="AP87" s="147"/>
      <c r="AQ87" s="147"/>
      <c r="AR87" s="147"/>
      <c r="AS87" s="147"/>
      <c r="AT87" s="147"/>
      <c r="AV87" s="147"/>
      <c r="AW87" s="4"/>
      <c r="AX87" s="4"/>
      <c r="AY87" s="4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Z87" s="64"/>
    </row>
    <row r="88" spans="1:99" s="3" customFormat="1" ht="25.5" customHeight="1">
      <c r="B88" s="353">
        <f t="shared" si="70"/>
        <v>0</v>
      </c>
      <c r="C88" s="353">
        <f t="shared" si="65"/>
        <v>0</v>
      </c>
      <c r="D88" s="42"/>
      <c r="G88" s="73" t="s">
        <v>378</v>
      </c>
      <c r="H88" s="32"/>
      <c r="I88" s="278" t="s">
        <v>106</v>
      </c>
      <c r="J88" s="360" t="s">
        <v>395</v>
      </c>
      <c r="K88" s="361" t="s">
        <v>375</v>
      </c>
      <c r="L88" s="26" t="s">
        <v>17</v>
      </c>
      <c r="M88" s="26" t="s">
        <v>470</v>
      </c>
      <c r="N88" s="25" t="s">
        <v>381</v>
      </c>
      <c r="O88" s="26" t="s">
        <v>17</v>
      </c>
      <c r="P88" s="26" t="s">
        <v>361</v>
      </c>
      <c r="Q88" s="26" t="s">
        <v>97</v>
      </c>
      <c r="R88" s="25" t="s">
        <v>27</v>
      </c>
      <c r="S88" s="279" t="s">
        <v>104</v>
      </c>
      <c r="T88" s="237"/>
      <c r="U88" s="237"/>
      <c r="V88" s="28" t="s">
        <v>138</v>
      </c>
      <c r="W88" s="237"/>
      <c r="X88" s="155" t="s">
        <v>295</v>
      </c>
      <c r="Y88" s="155" t="s">
        <v>296</v>
      </c>
      <c r="Z88" s="226"/>
      <c r="AB88" s="190"/>
      <c r="AC88" s="189"/>
      <c r="AD88" s="189"/>
      <c r="AE88" s="142"/>
      <c r="AF88" s="143"/>
      <c r="AG88" s="142"/>
      <c r="AH88" s="142"/>
      <c r="AI88" s="144"/>
      <c r="AJ88" s="144"/>
      <c r="AK88" s="144"/>
      <c r="AL88" s="144"/>
      <c r="AM88" s="144"/>
      <c r="AO88" s="144"/>
      <c r="AP88" s="144"/>
      <c r="AQ88" s="144"/>
      <c r="AR88" s="148"/>
      <c r="AS88" s="148"/>
      <c r="AT88" s="144" t="s">
        <v>312</v>
      </c>
      <c r="AV88" s="148"/>
      <c r="AW88" s="168">
        <f>MIN(AW5:AW43)</f>
        <v>0</v>
      </c>
      <c r="AX88" s="168">
        <f>MIN(AX5:AX43)</f>
        <v>0</v>
      </c>
      <c r="AY88" s="173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Z88" s="64"/>
    </row>
    <row r="89" spans="1:99" s="3" customFormat="1">
      <c r="A89" s="3">
        <f>B28</f>
        <v>12</v>
      </c>
      <c r="B89" s="350">
        <f>C28</f>
        <v>18</v>
      </c>
      <c r="C89" s="350">
        <f>D28</f>
        <v>23</v>
      </c>
      <c r="D89" s="42"/>
      <c r="G89" s="83">
        <f>G28</f>
        <v>12</v>
      </c>
      <c r="H89" s="32"/>
      <c r="I89" s="37" t="str">
        <f>BV89</f>
        <v xml:space="preserve">Algèbre ( 12 dossiers  / 23 = 52,17% ) </v>
      </c>
      <c r="J89" s="58" t="str">
        <f>CJ28</f>
        <v>52,17%</v>
      </c>
      <c r="K89" s="102" t="s">
        <v>394</v>
      </c>
      <c r="L89" s="32">
        <v>1</v>
      </c>
      <c r="M89" s="32">
        <f t="shared" ref="M89:S89" si="71">M28</f>
        <v>1</v>
      </c>
      <c r="N89" s="68">
        <f t="shared" si="71"/>
        <v>4</v>
      </c>
      <c r="O89" s="32">
        <f t="shared" si="71"/>
        <v>40.5</v>
      </c>
      <c r="P89" s="42">
        <f t="shared" si="71"/>
        <v>250</v>
      </c>
      <c r="Q89" s="59">
        <f t="shared" si="71"/>
        <v>-8</v>
      </c>
      <c r="R89" s="42">
        <f t="shared" si="71"/>
        <v>160</v>
      </c>
      <c r="S89" s="43">
        <f t="shared" si="71"/>
        <v>1.5625</v>
      </c>
      <c r="T89" s="48"/>
      <c r="U89" s="48"/>
      <c r="V89" s="142">
        <f>V28</f>
        <v>20</v>
      </c>
      <c r="W89" s="48"/>
      <c r="X89" s="142">
        <f>X28</f>
        <v>3</v>
      </c>
      <c r="Y89" s="142">
        <f>Y28</f>
        <v>16</v>
      </c>
      <c r="Z89" s="166">
        <f>AT28</f>
        <v>163</v>
      </c>
      <c r="AB89" s="83">
        <f>AB28</f>
        <v>40.5</v>
      </c>
      <c r="AC89" s="83"/>
      <c r="AD89" s="83"/>
      <c r="AE89" s="145"/>
      <c r="AF89" s="145">
        <f>AF82</f>
        <v>20</v>
      </c>
      <c r="AG89" s="145"/>
      <c r="AH89" s="145"/>
      <c r="AI89" s="144"/>
      <c r="AJ89" s="144"/>
      <c r="AK89" s="144"/>
      <c r="AL89" s="144"/>
      <c r="AM89" s="144"/>
      <c r="AO89" s="149"/>
      <c r="AP89" s="149"/>
      <c r="AQ89" s="149"/>
      <c r="AR89" s="144"/>
      <c r="AS89" s="144"/>
      <c r="AT89" s="149" t="s">
        <v>314</v>
      </c>
      <c r="AV89" s="144"/>
      <c r="AW89" s="168">
        <f>AVERAGE(AW5:AW43)</f>
        <v>13.911764705882353</v>
      </c>
      <c r="AX89" s="168">
        <f>AVERAGE(AX5:AX43)</f>
        <v>13.529411764705882</v>
      </c>
      <c r="AY89" s="173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V89" s="5" t="str">
        <f>CL29</f>
        <v xml:space="preserve">Algèbre ( 12 dossiers  / 23 = 52,17% ) </v>
      </c>
      <c r="BZ89" s="64"/>
    </row>
    <row r="90" spans="1:99" s="3" customFormat="1">
      <c r="A90" s="3">
        <f>B79</f>
        <v>5</v>
      </c>
      <c r="B90" s="350">
        <f>C78</f>
        <v>13</v>
      </c>
      <c r="C90" s="350">
        <f>D78</f>
        <v>21</v>
      </c>
      <c r="D90" s="42"/>
      <c r="G90" s="73">
        <f>G78</f>
        <v>4</v>
      </c>
      <c r="H90" s="32"/>
      <c r="I90" s="40" t="str">
        <f>BV90</f>
        <v xml:space="preserve">Analyse ( 5 dossiers / 21 = 23,8% ) </v>
      </c>
      <c r="J90" s="58" t="str">
        <f>CJ78</f>
        <v>23,8%</v>
      </c>
      <c r="K90" s="102" t="s">
        <v>394</v>
      </c>
      <c r="L90" s="32">
        <f t="shared" ref="L90:Y90" si="72">L78</f>
        <v>1</v>
      </c>
      <c r="M90" s="32">
        <f t="shared" si="72"/>
        <v>1</v>
      </c>
      <c r="N90" s="68">
        <f>N78</f>
        <v>2</v>
      </c>
      <c r="O90" s="32">
        <f t="shared" si="72"/>
        <v>49</v>
      </c>
      <c r="P90" s="32">
        <f t="shared" si="72"/>
        <v>288</v>
      </c>
      <c r="Q90" s="74">
        <f t="shared" si="72"/>
        <v>113</v>
      </c>
      <c r="R90" s="32">
        <f t="shared" si="72"/>
        <v>397</v>
      </c>
      <c r="S90" s="43">
        <f t="shared" si="72"/>
        <v>0.72544080604534</v>
      </c>
      <c r="T90" s="48"/>
      <c r="U90" s="48"/>
      <c r="V90" s="142">
        <f>V44</f>
        <v>25</v>
      </c>
      <c r="W90" s="48"/>
      <c r="X90" s="139">
        <f t="shared" si="72"/>
        <v>54</v>
      </c>
      <c r="Y90" s="139">
        <f t="shared" si="72"/>
        <v>101</v>
      </c>
      <c r="Z90" s="227">
        <f>AT78</f>
        <v>451</v>
      </c>
      <c r="AB90" s="73">
        <f>AB78</f>
        <v>73</v>
      </c>
      <c r="AC90" s="73"/>
      <c r="AD90" s="73"/>
      <c r="AE90" s="142"/>
      <c r="AF90" s="142">
        <f t="shared" ref="AF90:AF91" si="73">AF83</f>
        <v>37</v>
      </c>
      <c r="AG90" s="142"/>
      <c r="AH90" s="142"/>
      <c r="AI90" s="144"/>
      <c r="AJ90" s="144"/>
      <c r="AK90" s="144"/>
      <c r="AL90" s="144"/>
      <c r="AM90" s="144"/>
      <c r="AO90" s="144"/>
      <c r="AP90" s="144"/>
      <c r="AQ90" s="144"/>
      <c r="AR90" s="149"/>
      <c r="AS90" s="149"/>
      <c r="AT90" s="144" t="s">
        <v>313</v>
      </c>
      <c r="AV90" s="149"/>
      <c r="AW90" s="168">
        <f>MAX(AW5:AW43)</f>
        <v>106</v>
      </c>
      <c r="AX90" s="168">
        <f>MAX(AX5:AX43)</f>
        <v>57</v>
      </c>
      <c r="AY90" s="173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V90" s="3" t="str">
        <f>CL79</f>
        <v xml:space="preserve">Analyse ( 5 dossiers / 21 = 23,8% ) </v>
      </c>
      <c r="BW90" s="5"/>
      <c r="BX90" s="5"/>
      <c r="BZ90" s="64"/>
      <c r="CB90" s="65"/>
      <c r="CC90"/>
      <c r="CD90"/>
      <c r="CE90"/>
      <c r="CF90"/>
      <c r="CG90"/>
      <c r="CH90"/>
      <c r="CI90"/>
      <c r="CJ90"/>
      <c r="CK90"/>
      <c r="CL90"/>
      <c r="CM90"/>
      <c r="CN90"/>
    </row>
    <row r="91" spans="1:99" s="3" customFormat="1">
      <c r="A91" s="3">
        <f>B45</f>
        <v>3</v>
      </c>
      <c r="B91" s="350">
        <f>C45</f>
        <v>5</v>
      </c>
      <c r="C91" s="350">
        <f>D45</f>
        <v>11</v>
      </c>
      <c r="D91" s="42">
        <f>R89+R90+R91</f>
        <v>854</v>
      </c>
      <c r="G91" s="153">
        <f>G44</f>
        <v>5</v>
      </c>
      <c r="H91" s="32"/>
      <c r="I91" s="44" t="str">
        <f>BV91</f>
        <v xml:space="preserve">Géométrie ( 3 dossiers / 11 = 27,27% ) </v>
      </c>
      <c r="J91" s="95" t="str">
        <f>CJ44</f>
        <v>27,27%</v>
      </c>
      <c r="K91" s="103" t="s">
        <v>394</v>
      </c>
      <c r="L91" s="34">
        <f t="shared" ref="L91:S91" si="74">L44</f>
        <v>1</v>
      </c>
      <c r="M91" s="34">
        <f t="shared" si="74"/>
        <v>0</v>
      </c>
      <c r="N91" s="212">
        <f t="shared" si="74"/>
        <v>1</v>
      </c>
      <c r="O91" s="34">
        <f t="shared" si="74"/>
        <v>8</v>
      </c>
      <c r="P91" s="34">
        <f t="shared" si="74"/>
        <v>220</v>
      </c>
      <c r="Q91" s="210">
        <f t="shared" si="74"/>
        <v>11</v>
      </c>
      <c r="R91" s="34">
        <f t="shared" si="74"/>
        <v>297</v>
      </c>
      <c r="S91" s="47">
        <f t="shared" si="74"/>
        <v>0.7407407407407407</v>
      </c>
      <c r="T91" s="48"/>
      <c r="U91" s="48"/>
      <c r="V91" s="143">
        <f>V78</f>
        <v>50</v>
      </c>
      <c r="W91" s="48"/>
      <c r="X91" s="143">
        <f>X44</f>
        <v>0</v>
      </c>
      <c r="Y91" s="143">
        <f>Y44</f>
        <v>2</v>
      </c>
      <c r="Z91" s="167">
        <f>AT44</f>
        <v>297</v>
      </c>
      <c r="AB91" s="153">
        <f>AB44</f>
        <v>40</v>
      </c>
      <c r="AC91" s="153"/>
      <c r="AD91" s="153"/>
      <c r="AE91" s="143"/>
      <c r="AF91" s="143">
        <f t="shared" si="73"/>
        <v>46</v>
      </c>
      <c r="AG91" s="143"/>
      <c r="AH91" s="143"/>
      <c r="AI91" s="144"/>
      <c r="AJ91" s="144"/>
      <c r="AK91" s="144"/>
      <c r="AL91" s="144"/>
      <c r="AM91" s="144"/>
      <c r="AR91" s="144"/>
      <c r="AS91" s="144"/>
      <c r="AV91" s="144"/>
      <c r="AW91" s="4">
        <f>AY66</f>
        <v>724</v>
      </c>
      <c r="AX91" s="4">
        <f>AZ66</f>
        <v>773</v>
      </c>
      <c r="AY91" s="4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V91" s="3" t="str">
        <f>CL81</f>
        <v xml:space="preserve">Géométrie ( 3 dossiers / 11 = 27,27% ) </v>
      </c>
      <c r="BZ91" s="64" t="s">
        <v>95</v>
      </c>
    </row>
    <row r="92" spans="1:99" s="3" customFormat="1" ht="5.0999999999999996" customHeight="1">
      <c r="B92" s="350"/>
      <c r="C92" s="350"/>
      <c r="D92" s="42"/>
      <c r="G92" s="189"/>
      <c r="H92" s="42"/>
      <c r="I92" s="41"/>
      <c r="J92" s="42"/>
      <c r="K92" s="42"/>
      <c r="L92" s="42"/>
      <c r="M92" s="41"/>
      <c r="N92" s="41"/>
      <c r="O92" s="32"/>
      <c r="P92" s="42"/>
      <c r="Q92" s="42"/>
      <c r="R92" s="42"/>
      <c r="S92" s="48"/>
      <c r="T92" s="48"/>
      <c r="U92" s="48"/>
      <c r="V92" s="43"/>
      <c r="W92" s="48"/>
      <c r="X92" s="176"/>
      <c r="Y92" s="144"/>
      <c r="Z92" s="144"/>
      <c r="AB92" s="222"/>
      <c r="AC92" s="189"/>
      <c r="AD92" s="189"/>
      <c r="AE92" s="142"/>
      <c r="AF92" s="144"/>
      <c r="AG92" s="144"/>
      <c r="AH92" s="144"/>
      <c r="AI92" s="144"/>
      <c r="AJ92" s="144"/>
      <c r="AK92" s="144"/>
      <c r="AL92" s="144"/>
      <c r="AM92" s="144"/>
      <c r="AO92" s="144"/>
      <c r="AP92" s="144"/>
      <c r="AQ92" s="144"/>
      <c r="AR92" s="144"/>
      <c r="AS92" s="144"/>
      <c r="AT92" s="144"/>
      <c r="AV92" s="144"/>
      <c r="AW92" s="4"/>
      <c r="AX92" s="4"/>
      <c r="AY92" s="4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</row>
    <row r="93" spans="1:99" s="3" customFormat="1">
      <c r="A93" s="3">
        <f>SUM(A89:A91)</f>
        <v>20</v>
      </c>
      <c r="B93" s="350">
        <f>SUM(B89:B91)</f>
        <v>36</v>
      </c>
      <c r="C93" s="350">
        <f>SUM(C89:C91)</f>
        <v>55</v>
      </c>
      <c r="D93" s="42"/>
      <c r="G93" s="28">
        <f>G89+G90+G91</f>
        <v>21</v>
      </c>
      <c r="H93" s="32"/>
      <c r="I93" s="37" t="s">
        <v>480</v>
      </c>
      <c r="J93" s="35">
        <f>J84</f>
        <v>36</v>
      </c>
      <c r="K93" s="268">
        <f>L93+M93</f>
        <v>6</v>
      </c>
      <c r="L93" s="38">
        <f t="shared" ref="L93:S93" si="75">L82</f>
        <v>4</v>
      </c>
      <c r="M93" s="151">
        <f>M91+M90+M89</f>
        <v>2</v>
      </c>
      <c r="N93" s="38">
        <f t="shared" ref="N93" si="76">N82</f>
        <v>7</v>
      </c>
      <c r="O93" s="89">
        <f t="shared" si="75"/>
        <v>97.5</v>
      </c>
      <c r="P93" s="262">
        <f t="shared" si="75"/>
        <v>758</v>
      </c>
      <c r="Q93" s="262">
        <f t="shared" si="75"/>
        <v>116</v>
      </c>
      <c r="R93" s="262">
        <f t="shared" si="75"/>
        <v>854</v>
      </c>
      <c r="S93" s="50">
        <f t="shared" si="75"/>
        <v>0.88758782201405151</v>
      </c>
      <c r="T93" s="48"/>
      <c r="U93" s="48"/>
      <c r="V93" s="145">
        <f>V91+V90+V89</f>
        <v>95</v>
      </c>
      <c r="W93" s="48"/>
      <c r="X93" s="145">
        <f>SUM(X89:X91)</f>
        <v>57</v>
      </c>
      <c r="Y93" s="220">
        <f>SUM(Y89:Y92)</f>
        <v>119</v>
      </c>
      <c r="Z93" s="221">
        <f>Z89+Z90+Z91</f>
        <v>911</v>
      </c>
      <c r="AB93" s="222">
        <f>AB89+AB90+AB91</f>
        <v>153.5</v>
      </c>
      <c r="AC93" s="222"/>
      <c r="AD93" s="222"/>
      <c r="AE93" s="229"/>
      <c r="AF93" s="145">
        <f>AF89+AF90+AF91</f>
        <v>103</v>
      </c>
      <c r="AG93" s="229"/>
      <c r="AH93" s="229"/>
      <c r="AO93" s="144"/>
      <c r="AP93" s="144"/>
      <c r="AQ93" s="144"/>
      <c r="AR93" s="144"/>
      <c r="AS93" s="144"/>
      <c r="AT93" s="144"/>
      <c r="AV93" s="144"/>
      <c r="AW93" s="4"/>
      <c r="AX93" s="4"/>
      <c r="AY93" s="4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</row>
    <row r="94" spans="1:99">
      <c r="A94" s="3"/>
      <c r="B94" s="350">
        <f>B93-A93</f>
        <v>16</v>
      </c>
      <c r="C94" s="350"/>
      <c r="D94" s="88"/>
      <c r="G94" s="276">
        <f>G93/C93</f>
        <v>0.38181818181818183</v>
      </c>
      <c r="H94" s="274"/>
      <c r="I94" s="246" t="str">
        <f>CL45</f>
        <v>nombre de dossiers = 20 / 55 = 36,36%</v>
      </c>
      <c r="J94" s="247">
        <f>E95</f>
        <v>0.72</v>
      </c>
      <c r="K94" s="244">
        <f>K93/J93</f>
        <v>0.16666666666666666</v>
      </c>
      <c r="L94" s="244">
        <f>L93/J93</f>
        <v>0.1111111111111111</v>
      </c>
      <c r="M94" s="245">
        <f>M93/J93</f>
        <v>5.5555555555555552E-2</v>
      </c>
      <c r="N94" s="239">
        <f>N93/C93</f>
        <v>0.12727272727272726</v>
      </c>
      <c r="O94" s="262"/>
      <c r="P94" s="90">
        <f>O93/P93</f>
        <v>0.12862796833773088</v>
      </c>
      <c r="Q94" s="91"/>
      <c r="R94" s="90">
        <f>O93/R93</f>
        <v>0.11416861826697892</v>
      </c>
      <c r="S94" s="66"/>
      <c r="T94" s="215"/>
      <c r="U94" s="215"/>
      <c r="V94" s="145">
        <f>O93</f>
        <v>97.5</v>
      </c>
      <c r="W94" s="215"/>
      <c r="X94" s="143"/>
      <c r="Y94" s="199"/>
      <c r="Z94" s="167">
        <f>Z93-X93</f>
        <v>854</v>
      </c>
      <c r="AB94" s="189">
        <f>AF93</f>
        <v>103</v>
      </c>
      <c r="AC94" s="189"/>
      <c r="AD94" s="189"/>
      <c r="AE94" s="142"/>
      <c r="AF94" s="142"/>
      <c r="AG94" s="142"/>
      <c r="AH94" s="142"/>
      <c r="AI94" s="144"/>
      <c r="AJ94" s="144"/>
      <c r="AK94" s="144"/>
      <c r="AL94" s="144"/>
      <c r="AM94" s="144"/>
      <c r="AO94" s="144"/>
      <c r="AP94" s="144"/>
      <c r="AQ94" s="144"/>
      <c r="AR94" s="144"/>
      <c r="AS94" s="144"/>
      <c r="AT94" s="144"/>
      <c r="AV94" s="144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V94" t="s">
        <v>247</v>
      </c>
    </row>
    <row r="95" spans="1:99">
      <c r="D95" s="88"/>
      <c r="E95" s="214">
        <f>J93/G95</f>
        <v>0.72</v>
      </c>
      <c r="F95" s="214"/>
      <c r="G95" s="277">
        <v>50</v>
      </c>
      <c r="H95" s="94"/>
      <c r="I95" s="67" t="str">
        <f>CL84</f>
        <v xml:space="preserve">( 21 dossiers modifiés  / 55 = 38,18% ) </v>
      </c>
      <c r="J95" s="267">
        <v>50</v>
      </c>
      <c r="K95" s="70">
        <f>K93/J95</f>
        <v>0.12</v>
      </c>
      <c r="L95" s="70">
        <f>L93/J95</f>
        <v>0.08</v>
      </c>
      <c r="M95" s="66">
        <f>M93/J95</f>
        <v>0.04</v>
      </c>
      <c r="N95" s="91">
        <f>O93</f>
        <v>97.5</v>
      </c>
      <c r="O95" s="243">
        <f>V93</f>
        <v>95</v>
      </c>
      <c r="P95" s="91">
        <f>N95+O95</f>
        <v>192.5</v>
      </c>
      <c r="Q95" s="242">
        <f>P95/P93</f>
        <v>0.25395778364116095</v>
      </c>
      <c r="R95" s="241">
        <f>P95/R93</f>
        <v>0.22540983606557377</v>
      </c>
      <c r="S95" s="66"/>
      <c r="T95" s="215"/>
      <c r="U95" s="215"/>
      <c r="V95" s="152">
        <f>V93+V94</f>
        <v>192.5</v>
      </c>
      <c r="W95" s="215"/>
      <c r="X95" s="144"/>
      <c r="Y95" s="144"/>
      <c r="Z95" s="144"/>
      <c r="AA95" s="216"/>
      <c r="AB95" s="190">
        <f>AB93+AB94</f>
        <v>256.5</v>
      </c>
      <c r="AC95" s="190"/>
      <c r="AD95" s="190"/>
      <c r="AE95" s="143"/>
      <c r="AF95" s="143"/>
      <c r="AG95" s="143"/>
      <c r="AH95" s="143"/>
      <c r="AI95" s="144"/>
      <c r="AJ95" s="144"/>
      <c r="AK95" s="144"/>
      <c r="AL95" s="144"/>
      <c r="AM95" s="144"/>
      <c r="AO95" s="144"/>
      <c r="AP95" s="144"/>
      <c r="AQ95" s="144"/>
      <c r="AR95" s="144"/>
      <c r="AS95" s="144"/>
      <c r="AT95" s="144"/>
      <c r="AV95" s="144"/>
      <c r="AW95" s="206"/>
      <c r="AX95" s="206"/>
      <c r="AY95" s="206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</row>
    <row r="96" spans="1:99">
      <c r="V96" s="240"/>
      <c r="X96" s="191"/>
      <c r="Y96" s="191"/>
      <c r="Z96" s="250">
        <f>P93</f>
        <v>758</v>
      </c>
      <c r="AB96" s="248">
        <f>AB95/P93</f>
        <v>0.33839050131926124</v>
      </c>
      <c r="AC96" s="248"/>
      <c r="AD96" s="248"/>
      <c r="AE96" s="250"/>
      <c r="AF96" s="259"/>
      <c r="AG96" s="250"/>
      <c r="AH96" s="250"/>
      <c r="AI96" s="191"/>
      <c r="AJ96" s="191"/>
      <c r="AK96" s="191"/>
      <c r="AL96" s="191"/>
      <c r="AM96" s="191"/>
      <c r="BV96" s="3" t="s">
        <v>248</v>
      </c>
    </row>
    <row r="97" spans="2:58">
      <c r="G97" s="4"/>
      <c r="I97" s="184"/>
      <c r="J97" s="354"/>
      <c r="K97" s="354"/>
      <c r="L97" s="354"/>
      <c r="M97" s="232"/>
      <c r="N97" s="354" t="s">
        <v>312</v>
      </c>
      <c r="O97" s="232" t="s">
        <v>314</v>
      </c>
      <c r="P97" s="232" t="s">
        <v>313</v>
      </c>
      <c r="Q97" s="354" t="s">
        <v>312</v>
      </c>
      <c r="R97" s="232" t="s">
        <v>314</v>
      </c>
      <c r="S97" s="236" t="s">
        <v>313</v>
      </c>
      <c r="X97" s="191"/>
      <c r="Y97" s="191"/>
      <c r="Z97" s="251">
        <f>R93</f>
        <v>854</v>
      </c>
      <c r="AB97" s="249">
        <f>AB95/Z97</f>
        <v>0.30035128805620609</v>
      </c>
      <c r="AC97" s="249"/>
      <c r="AD97" s="249"/>
      <c r="AE97" s="251"/>
      <c r="AF97" s="249"/>
      <c r="AG97" s="251"/>
      <c r="AH97" s="251"/>
      <c r="AI97" s="191"/>
      <c r="AJ97" s="191"/>
      <c r="AK97" s="191"/>
      <c r="AL97" s="191"/>
      <c r="AM97" s="191"/>
    </row>
    <row r="98" spans="2:58">
      <c r="B98" s="356"/>
      <c r="C98" s="356"/>
      <c r="D98" s="356"/>
      <c r="G98" s="355"/>
      <c r="H98" s="355"/>
      <c r="I98" s="187"/>
      <c r="J98" s="355"/>
      <c r="K98" s="355"/>
      <c r="L98" s="355"/>
      <c r="M98" s="3"/>
      <c r="N98" s="355"/>
      <c r="O98" s="3"/>
      <c r="P98" s="3"/>
      <c r="Q98" s="355"/>
      <c r="R98" s="3"/>
      <c r="S98" s="124"/>
      <c r="X98" s="191"/>
      <c r="Y98" s="191"/>
      <c r="Z98" s="191"/>
      <c r="AA98" s="355"/>
      <c r="AB98" s="258"/>
      <c r="AC98" s="258"/>
      <c r="AD98" s="258"/>
      <c r="AE98" s="191"/>
      <c r="AF98" s="258"/>
      <c r="AG98" s="191"/>
      <c r="AH98" s="191"/>
      <c r="AI98" s="191"/>
      <c r="AJ98" s="191"/>
      <c r="AK98" s="191"/>
      <c r="AL98" s="191"/>
      <c r="AM98" s="191"/>
      <c r="AW98" s="356"/>
      <c r="AX98" s="356"/>
      <c r="AY98" s="356"/>
    </row>
    <row r="99" spans="2:58">
      <c r="E99">
        <v>54</v>
      </c>
      <c r="F99">
        <f>E99</f>
        <v>54</v>
      </c>
      <c r="G99" s="4"/>
      <c r="I99" s="187" t="s">
        <v>0</v>
      </c>
      <c r="J99" s="355"/>
      <c r="K99" s="308"/>
      <c r="L99" s="355"/>
      <c r="M99" s="3"/>
      <c r="N99" s="355">
        <f>MIN(P5:P26)</f>
        <v>1</v>
      </c>
      <c r="O99" s="355">
        <f>AVERAGE(P5:P26)</f>
        <v>14.055555555555555</v>
      </c>
      <c r="P99" s="355">
        <f>MAX(P5:P26)</f>
        <v>44</v>
      </c>
      <c r="Q99" s="355">
        <f>MIN(R5:R26)</f>
        <v>1</v>
      </c>
      <c r="R99" s="355">
        <f>AVERAGE(R5:R26)</f>
        <v>10.1875</v>
      </c>
      <c r="S99" s="93">
        <f>MAX(R5:R26)</f>
        <v>40</v>
      </c>
      <c r="T99" s="4"/>
      <c r="U99" s="355"/>
      <c r="V99" s="4"/>
      <c r="W99" s="4"/>
      <c r="X99" s="191"/>
      <c r="Y99" s="191"/>
      <c r="Z99" s="191"/>
      <c r="BB99" t="s">
        <v>325</v>
      </c>
      <c r="BD99">
        <v>2016</v>
      </c>
      <c r="BF99" t="str">
        <f>BB99&amp;" "&amp;BD99</f>
        <v>Septembre 2016</v>
      </c>
    </row>
    <row r="100" spans="2:58">
      <c r="E100">
        <v>70</v>
      </c>
      <c r="F100">
        <f>E100-E99</f>
        <v>16</v>
      </c>
      <c r="G100" s="4"/>
      <c r="I100" s="187" t="s">
        <v>3</v>
      </c>
      <c r="J100" s="355"/>
      <c r="K100" s="355"/>
      <c r="L100" s="355"/>
      <c r="M100" s="3"/>
      <c r="N100" s="355">
        <f>MIN(P48:P76)</f>
        <v>1</v>
      </c>
      <c r="O100" s="355">
        <f>AVERAGE(P48:P76)</f>
        <v>24.428571428571427</v>
      </c>
      <c r="P100" s="355">
        <f>MAX(P48:P76)</f>
        <v>104</v>
      </c>
      <c r="Q100" s="355">
        <f>MIN(R48:R76)</f>
        <v>4</v>
      </c>
      <c r="R100" s="355">
        <f>AVERAGE(R48:R76)</f>
        <v>25.055555555555557</v>
      </c>
      <c r="S100" s="93">
        <f>MAX(R48:R76)</f>
        <v>53</v>
      </c>
      <c r="T100" s="4"/>
      <c r="U100" s="355"/>
      <c r="V100" s="4"/>
      <c r="W100" s="4"/>
      <c r="X100" s="191"/>
      <c r="Y100" s="191"/>
      <c r="Z100" s="191"/>
      <c r="AB100" s="145">
        <f>AB93</f>
        <v>153.5</v>
      </c>
      <c r="AC100" s="144"/>
      <c r="AD100" s="144"/>
      <c r="BB100" t="s">
        <v>326</v>
      </c>
      <c r="BD100">
        <v>2017</v>
      </c>
      <c r="BF100" t="str">
        <f t="shared" ref="BF100:BF105" si="77">BB100&amp;" "&amp;BD100</f>
        <v>Janvier 2017</v>
      </c>
    </row>
    <row r="101" spans="2:58">
      <c r="E101">
        <v>121</v>
      </c>
      <c r="F101">
        <f>E101-E100</f>
        <v>51</v>
      </c>
      <c r="G101" s="4"/>
      <c r="I101" s="187" t="s">
        <v>7</v>
      </c>
      <c r="J101" s="355"/>
      <c r="K101" s="355"/>
      <c r="L101" s="355"/>
      <c r="M101" s="3"/>
      <c r="N101" s="355">
        <f>MIN(P32:P43)</f>
        <v>1</v>
      </c>
      <c r="O101" s="355">
        <f>AVERAGE(P32:P43)</f>
        <v>24.444444444444443</v>
      </c>
      <c r="P101" s="355">
        <f>MAX(P32:P43)</f>
        <v>106</v>
      </c>
      <c r="Q101" s="355">
        <f>MIN(R32:R43)</f>
        <v>7</v>
      </c>
      <c r="R101" s="355">
        <f>AVERAGE(R32:R43)</f>
        <v>29.7</v>
      </c>
      <c r="S101" s="93">
        <f>MAX(R32:R43)</f>
        <v>57</v>
      </c>
      <c r="T101" s="4"/>
      <c r="U101" s="355"/>
      <c r="V101" s="4"/>
      <c r="W101" s="4"/>
      <c r="X101" s="191"/>
      <c r="Y101" s="191"/>
      <c r="Z101" s="250">
        <f>Z96</f>
        <v>758</v>
      </c>
      <c r="AB101" s="259">
        <f>AB93/Z96</f>
        <v>0.2025065963060686</v>
      </c>
      <c r="AC101" s="258"/>
      <c r="AD101" s="258"/>
      <c r="BB101" t="s">
        <v>327</v>
      </c>
      <c r="BD101">
        <v>2017</v>
      </c>
      <c r="BF101" t="str">
        <f t="shared" si="77"/>
        <v>Février 2017</v>
      </c>
    </row>
    <row r="102" spans="2:58">
      <c r="B102" s="356"/>
      <c r="C102" s="356"/>
      <c r="G102" s="355"/>
      <c r="H102" s="355"/>
      <c r="I102" s="187" t="s">
        <v>324</v>
      </c>
      <c r="J102" s="355"/>
      <c r="K102" s="355"/>
      <c r="L102" s="355"/>
      <c r="M102" s="3"/>
      <c r="N102" s="355"/>
      <c r="O102" s="3">
        <f>AW91</f>
        <v>724</v>
      </c>
      <c r="P102" s="3"/>
      <c r="Q102" s="355"/>
      <c r="R102" s="3">
        <f>AX91</f>
        <v>773</v>
      </c>
      <c r="S102" s="124"/>
      <c r="T102" s="355"/>
      <c r="U102" s="355"/>
      <c r="V102" s="355"/>
      <c r="W102" s="355"/>
      <c r="X102" s="191"/>
      <c r="Y102" s="191"/>
      <c r="Z102" s="362"/>
      <c r="AA102" s="355"/>
      <c r="AB102" s="248"/>
      <c r="AC102" s="258"/>
      <c r="AD102" s="258"/>
      <c r="AW102" s="356"/>
      <c r="AX102" s="356"/>
      <c r="AY102" s="356"/>
    </row>
    <row r="103" spans="2:58">
      <c r="G103" s="4"/>
      <c r="I103" s="188" t="s">
        <v>323</v>
      </c>
      <c r="J103" s="209">
        <f>SUM(J99:J101)</f>
        <v>0</v>
      </c>
      <c r="K103" s="311" t="s">
        <v>415</v>
      </c>
      <c r="L103" s="209"/>
      <c r="M103" s="113"/>
      <c r="N103" s="209">
        <f>AW88</f>
        <v>0</v>
      </c>
      <c r="O103" s="113">
        <f>AW89</f>
        <v>13.911764705882353</v>
      </c>
      <c r="P103" s="113">
        <f>AW90</f>
        <v>106</v>
      </c>
      <c r="Q103" s="209">
        <f>AX88</f>
        <v>0</v>
      </c>
      <c r="R103" s="113">
        <f>AX89</f>
        <v>13.529411764705882</v>
      </c>
      <c r="S103" s="235">
        <f>AX90</f>
        <v>57</v>
      </c>
      <c r="X103" s="191"/>
      <c r="Y103" s="191"/>
      <c r="Z103" s="251">
        <f>Z97</f>
        <v>854</v>
      </c>
      <c r="AB103" s="249">
        <f>AB100/Z97</f>
        <v>0.17974238875878221</v>
      </c>
      <c r="AC103" s="258"/>
      <c r="AD103" s="258"/>
      <c r="BB103" t="s">
        <v>328</v>
      </c>
      <c r="BD103">
        <v>2017</v>
      </c>
      <c r="BF103" t="str">
        <f t="shared" si="77"/>
        <v>Mars 2017</v>
      </c>
    </row>
    <row r="104" spans="2:58">
      <c r="G104" s="4"/>
      <c r="X104" s="191"/>
      <c r="Y104" s="191"/>
      <c r="Z104" s="191"/>
      <c r="BB104" t="s">
        <v>329</v>
      </c>
      <c r="BD104">
        <v>2017</v>
      </c>
      <c r="BF104" t="str">
        <f t="shared" si="77"/>
        <v>Mai 2017</v>
      </c>
    </row>
    <row r="105" spans="2:58">
      <c r="G105" s="4"/>
      <c r="I105" s="184" t="s">
        <v>368</v>
      </c>
      <c r="J105" s="265"/>
      <c r="K105" s="265"/>
      <c r="L105" s="265"/>
      <c r="M105" s="450">
        <v>3</v>
      </c>
      <c r="N105" s="450"/>
      <c r="O105" s="450"/>
      <c r="P105" s="265">
        <f>M105</f>
        <v>3</v>
      </c>
      <c r="Q105" s="265"/>
      <c r="R105" s="265">
        <f>P105</f>
        <v>3</v>
      </c>
      <c r="S105" s="236"/>
      <c r="X105" s="191"/>
      <c r="Y105" s="191"/>
      <c r="Z105" s="191"/>
      <c r="BB105" t="s">
        <v>330</v>
      </c>
      <c r="BD105">
        <v>2017</v>
      </c>
      <c r="BF105" t="str">
        <f t="shared" si="77"/>
        <v>Juin 2017</v>
      </c>
    </row>
    <row r="106" spans="2:58">
      <c r="G106" s="4"/>
      <c r="I106" s="187" t="s">
        <v>369</v>
      </c>
      <c r="J106" s="266"/>
      <c r="K106" s="266"/>
      <c r="L106" s="266"/>
      <c r="M106" s="451">
        <f>P93</f>
        <v>758</v>
      </c>
      <c r="N106" s="451"/>
      <c r="O106" s="451"/>
      <c r="P106" s="266">
        <f>R93</f>
        <v>854</v>
      </c>
      <c r="Q106" s="266"/>
      <c r="R106" s="266">
        <f>Z93</f>
        <v>911</v>
      </c>
      <c r="S106" s="124"/>
      <c r="X106" s="191"/>
      <c r="Y106" s="191"/>
      <c r="Z106" s="191"/>
      <c r="AB106" s="231"/>
      <c r="AW106" s="231"/>
      <c r="AX106" s="231"/>
      <c r="AY106" s="231"/>
    </row>
    <row r="107" spans="2:58">
      <c r="G107" s="4"/>
      <c r="I107" s="187" t="s">
        <v>370</v>
      </c>
      <c r="J107" s="266"/>
      <c r="K107" s="266"/>
      <c r="L107" s="266"/>
      <c r="M107" s="446">
        <f>M106/M105</f>
        <v>252.66666666666666</v>
      </c>
      <c r="N107" s="446"/>
      <c r="O107" s="446"/>
      <c r="P107" s="261">
        <f>P106/P105</f>
        <v>284.66666666666669</v>
      </c>
      <c r="Q107" s="266"/>
      <c r="R107" s="261">
        <f>R106/R105</f>
        <v>303.66666666666669</v>
      </c>
      <c r="S107" s="124"/>
      <c r="X107" s="191"/>
      <c r="Y107" s="191"/>
      <c r="Z107" s="191"/>
      <c r="AB107" s="231"/>
      <c r="AW107" s="231"/>
      <c r="AX107" s="231"/>
      <c r="AY107" s="231"/>
      <c r="BB107" t="s">
        <v>331</v>
      </c>
      <c r="BD107">
        <v>2017</v>
      </c>
      <c r="BF107" t="str">
        <f>BB107&amp;" "&amp;BD107</f>
        <v>Juillet 2017</v>
      </c>
    </row>
    <row r="108" spans="2:58">
      <c r="G108" s="4"/>
      <c r="I108" s="187" t="s">
        <v>371</v>
      </c>
      <c r="J108" s="266"/>
      <c r="K108" s="266"/>
      <c r="L108" s="266"/>
      <c r="M108" s="446">
        <f>M107/9</f>
        <v>28.074074074074073</v>
      </c>
      <c r="N108" s="446"/>
      <c r="O108" s="446"/>
      <c r="P108" s="261">
        <f>P107/9</f>
        <v>31.629629629629633</v>
      </c>
      <c r="Q108" s="266"/>
      <c r="R108" s="261">
        <f>R107/9</f>
        <v>33.74074074074074</v>
      </c>
      <c r="S108" s="124"/>
      <c r="X108" s="191"/>
      <c r="Y108" s="191"/>
      <c r="Z108" s="191"/>
      <c r="AB108" s="231"/>
      <c r="AW108" s="231"/>
      <c r="AX108" s="231"/>
      <c r="AY108" s="231"/>
      <c r="BB108" t="s">
        <v>332</v>
      </c>
      <c r="BD108">
        <v>2017</v>
      </c>
      <c r="BF108" t="str">
        <f>BB108&amp;" "&amp;BD108</f>
        <v>Aout 2017</v>
      </c>
    </row>
    <row r="109" spans="2:58">
      <c r="G109" s="4"/>
      <c r="I109" s="187" t="s">
        <v>372</v>
      </c>
      <c r="J109" s="266"/>
      <c r="K109" s="266"/>
      <c r="L109" s="266"/>
      <c r="M109" s="446">
        <f>M108/4</f>
        <v>7.0185185185185182</v>
      </c>
      <c r="N109" s="446"/>
      <c r="O109" s="446"/>
      <c r="P109" s="261">
        <f>P108/4</f>
        <v>7.9074074074074083</v>
      </c>
      <c r="Q109" s="266"/>
      <c r="R109" s="261">
        <f>R108/4</f>
        <v>8.4351851851851851</v>
      </c>
      <c r="S109" s="124"/>
      <c r="X109" s="191"/>
      <c r="Y109" s="191"/>
      <c r="Z109" s="191"/>
      <c r="AB109" s="231"/>
      <c r="AW109" s="231"/>
      <c r="AX109" s="231"/>
      <c r="AY109" s="231"/>
      <c r="BB109" t="s">
        <v>325</v>
      </c>
      <c r="BD109">
        <v>2017</v>
      </c>
      <c r="BF109" t="str">
        <f>BB109&amp;" "&amp;BD109</f>
        <v>Septembre 2017</v>
      </c>
    </row>
    <row r="110" spans="2:58">
      <c r="G110" s="4"/>
      <c r="I110" s="187" t="s">
        <v>373</v>
      </c>
      <c r="J110" s="266"/>
      <c r="K110" s="266"/>
      <c r="L110" s="266"/>
      <c r="M110" s="446">
        <f>M109/3</f>
        <v>2.3395061728395059</v>
      </c>
      <c r="N110" s="446"/>
      <c r="O110" s="446"/>
      <c r="P110" s="261">
        <f>P109/3</f>
        <v>2.6358024691358026</v>
      </c>
      <c r="Q110" s="266"/>
      <c r="R110" s="261">
        <f>R109/3</f>
        <v>2.8117283950617282</v>
      </c>
      <c r="S110" s="124"/>
      <c r="X110" s="191"/>
      <c r="Y110" s="191"/>
      <c r="Z110" s="191"/>
      <c r="AB110" s="231"/>
      <c r="AW110" s="231"/>
      <c r="AX110" s="231"/>
      <c r="AY110" s="231"/>
      <c r="BB110" t="s">
        <v>333</v>
      </c>
      <c r="BD110">
        <v>2017</v>
      </c>
      <c r="BF110" t="str">
        <f>BB110&amp;" "&amp;BD110</f>
        <v>Novembre 2017</v>
      </c>
    </row>
    <row r="111" spans="2:58">
      <c r="G111" s="4"/>
      <c r="I111" s="188"/>
      <c r="J111" s="209"/>
      <c r="K111" s="209"/>
      <c r="L111" s="209"/>
      <c r="M111" s="113"/>
      <c r="N111" s="113"/>
      <c r="O111" s="113"/>
      <c r="P111" s="209"/>
      <c r="Q111" s="209"/>
      <c r="R111" s="113"/>
      <c r="S111" s="235"/>
      <c r="X111" s="191"/>
      <c r="Y111" s="191"/>
      <c r="Z111" s="191"/>
      <c r="AB111" s="231"/>
      <c r="AW111" s="231"/>
      <c r="AX111" s="231"/>
      <c r="AY111" s="231"/>
      <c r="BB111" t="s">
        <v>334</v>
      </c>
      <c r="BD111">
        <v>2017</v>
      </c>
      <c r="BF111" t="str">
        <f>BB111&amp;" "&amp;BD111</f>
        <v>Décembre 2017</v>
      </c>
    </row>
    <row r="112" spans="2:58">
      <c r="G112" s="4"/>
      <c r="X112" s="191"/>
      <c r="Y112" s="191"/>
      <c r="Z112" s="191"/>
      <c r="AB112" s="231"/>
      <c r="AW112" s="231"/>
      <c r="AX112" s="231"/>
      <c r="AY112" s="231"/>
    </row>
    <row r="113" spans="2:67">
      <c r="G113" s="266"/>
      <c r="I113" s="280" t="s">
        <v>396</v>
      </c>
      <c r="J113" s="417" t="s">
        <v>397</v>
      </c>
      <c r="K113" s="417" t="s">
        <v>398</v>
      </c>
      <c r="L113" s="417" t="s">
        <v>399</v>
      </c>
      <c r="M113" s="232"/>
      <c r="N113" s="232"/>
      <c r="O113" s="282" t="s">
        <v>27</v>
      </c>
      <c r="P113" s="417" t="s">
        <v>400</v>
      </c>
      <c r="Q113" s="417"/>
      <c r="R113" s="281" t="s">
        <v>119</v>
      </c>
      <c r="S113" s="236"/>
      <c r="X113" s="191"/>
      <c r="Y113" s="191"/>
      <c r="AA113" s="266"/>
      <c r="AB113" s="270"/>
      <c r="AW113" s="270"/>
      <c r="AX113" s="270"/>
      <c r="AY113" s="270"/>
    </row>
    <row r="114" spans="2:67">
      <c r="B114" s="356"/>
      <c r="C114" s="356"/>
      <c r="D114" s="356"/>
      <c r="G114" s="355"/>
      <c r="H114" s="355"/>
      <c r="I114" s="283" t="s">
        <v>412</v>
      </c>
      <c r="J114" s="418">
        <f>+AB89</f>
        <v>40.5</v>
      </c>
      <c r="K114" s="418">
        <f>+AB90</f>
        <v>73</v>
      </c>
      <c r="L114" s="418">
        <f>+AB91</f>
        <v>40</v>
      </c>
      <c r="M114" s="3"/>
      <c r="N114" s="3"/>
      <c r="O114" s="3">
        <f>L115+L116</f>
        <v>256.5</v>
      </c>
      <c r="P114" s="418">
        <f>Z96</f>
        <v>758</v>
      </c>
      <c r="Q114" s="418"/>
      <c r="R114" s="418">
        <f>Z97</f>
        <v>854</v>
      </c>
      <c r="S114" s="124"/>
      <c r="X114" s="191"/>
      <c r="Y114" s="191"/>
      <c r="Z114" s="191"/>
      <c r="AA114" s="355"/>
      <c r="AB114" s="356"/>
      <c r="AC114" s="356"/>
      <c r="AD114" s="356"/>
      <c r="AW114" s="356"/>
      <c r="AX114" s="356"/>
      <c r="AY114" s="356"/>
    </row>
    <row r="115" spans="2:67">
      <c r="B115" s="356"/>
      <c r="C115" s="356"/>
      <c r="D115" s="356"/>
      <c r="G115" s="355"/>
      <c r="H115" s="355"/>
      <c r="I115" s="370" t="s">
        <v>481</v>
      </c>
      <c r="J115" s="371" t="s">
        <v>319</v>
      </c>
      <c r="K115" s="372" t="s">
        <v>471</v>
      </c>
      <c r="L115" s="373">
        <f>+AB93</f>
        <v>153.5</v>
      </c>
      <c r="M115" s="3"/>
      <c r="N115" s="3"/>
      <c r="O115" s="3">
        <f>L115</f>
        <v>153.5</v>
      </c>
      <c r="P115" s="398">
        <f>O115/P114</f>
        <v>0.2025065963060686</v>
      </c>
      <c r="Q115" s="418"/>
      <c r="R115" s="399">
        <f>O115/R114</f>
        <v>0.17974238875878221</v>
      </c>
      <c r="S115" s="124"/>
      <c r="X115" s="191"/>
      <c r="Y115" s="191"/>
      <c r="AD115" s="356"/>
      <c r="AW115" s="356"/>
      <c r="AX115" s="356"/>
      <c r="AY115" s="356"/>
    </row>
    <row r="116" spans="2:67">
      <c r="B116" s="420"/>
      <c r="C116" s="420"/>
      <c r="D116" s="420"/>
      <c r="G116" s="418"/>
      <c r="H116" s="418"/>
      <c r="I116" s="187" t="s">
        <v>482</v>
      </c>
      <c r="J116" s="418" t="s">
        <v>470</v>
      </c>
      <c r="K116" s="418" t="s">
        <v>471</v>
      </c>
      <c r="L116" s="3">
        <f>+AB94</f>
        <v>103</v>
      </c>
      <c r="M116" s="3"/>
      <c r="N116" s="3">
        <f>L115+L116</f>
        <v>256.5</v>
      </c>
      <c r="O116" s="373">
        <f>O114</f>
        <v>256.5</v>
      </c>
      <c r="P116" s="424">
        <f>O116/P114</f>
        <v>0.33839050131926124</v>
      </c>
      <c r="Q116" s="418"/>
      <c r="R116" s="424">
        <f>O116/R114</f>
        <v>0.30035128805620609</v>
      </c>
      <c r="S116" s="124"/>
      <c r="X116" s="191"/>
      <c r="Y116" s="191"/>
      <c r="Z116" s="419"/>
      <c r="AA116" s="418"/>
      <c r="AB116" s="420"/>
      <c r="AC116" s="420"/>
      <c r="AD116" s="420"/>
      <c r="AE116" s="419"/>
      <c r="AF116" s="419"/>
      <c r="AG116" s="419"/>
      <c r="AH116" s="419"/>
      <c r="AI116" s="419"/>
      <c r="AJ116" s="419"/>
      <c r="AL116" s="419"/>
      <c r="AM116" s="419"/>
      <c r="AO116" s="419"/>
      <c r="AP116" s="419"/>
      <c r="AR116" s="419"/>
      <c r="AS116" s="419"/>
      <c r="AT116" s="419"/>
      <c r="AV116" s="419"/>
      <c r="AW116" s="420"/>
      <c r="AX116" s="420"/>
      <c r="AY116" s="420"/>
    </row>
    <row r="117" spans="2:67">
      <c r="B117" s="356"/>
      <c r="C117" s="356"/>
      <c r="D117" s="356"/>
      <c r="G117" s="355"/>
      <c r="H117" s="355"/>
      <c r="I117" s="188" t="s">
        <v>493</v>
      </c>
      <c r="J117" s="209"/>
      <c r="K117" s="209"/>
      <c r="L117" s="209"/>
      <c r="M117" s="113"/>
      <c r="N117" s="113"/>
      <c r="O117" s="113">
        <f>AL79</f>
        <v>27</v>
      </c>
      <c r="P117" s="209"/>
      <c r="Q117" s="209"/>
      <c r="R117" s="425">
        <f>AL81</f>
        <v>0.54</v>
      </c>
      <c r="S117" s="235"/>
      <c r="X117" s="191"/>
      <c r="Y117" s="191"/>
      <c r="Z117" s="191"/>
      <c r="AA117" s="355"/>
      <c r="AB117" s="356"/>
      <c r="AC117" s="356"/>
      <c r="AD117" s="356"/>
      <c r="AW117" s="356"/>
      <c r="AX117" s="356"/>
      <c r="AY117" s="356"/>
    </row>
    <row r="118" spans="2:67">
      <c r="B118" s="356"/>
      <c r="C118" s="356"/>
      <c r="D118" s="356"/>
      <c r="G118" s="355"/>
      <c r="H118" s="355"/>
      <c r="J118" s="356"/>
      <c r="K118" s="356"/>
      <c r="L118" s="356"/>
      <c r="P118" s="356"/>
      <c r="Q118" s="356"/>
      <c r="X118" s="191"/>
      <c r="Y118" s="191"/>
      <c r="Z118" s="191"/>
      <c r="AA118" s="355"/>
      <c r="AB118" s="356"/>
      <c r="AC118" s="356"/>
      <c r="AD118" s="356"/>
      <c r="AW118" s="356"/>
      <c r="AX118" s="356"/>
      <c r="AY118" s="356"/>
    </row>
    <row r="119" spans="2:67">
      <c r="B119" s="356"/>
      <c r="C119" s="356"/>
      <c r="D119" s="356"/>
      <c r="G119" s="355"/>
      <c r="H119" s="355"/>
      <c r="I119" s="184" t="s">
        <v>403</v>
      </c>
      <c r="J119" s="369"/>
      <c r="K119" s="369"/>
      <c r="L119" s="232">
        <f>M106</f>
        <v>758</v>
      </c>
      <c r="M119" s="232"/>
      <c r="N119" s="232">
        <f>M106/2</f>
        <v>379</v>
      </c>
      <c r="O119" s="232">
        <f>N119/9</f>
        <v>42.111111111111114</v>
      </c>
      <c r="P119" s="369">
        <f>O119/4</f>
        <v>10.527777777777779</v>
      </c>
      <c r="Q119" s="369">
        <f>P119/3</f>
        <v>3.5092592592592595</v>
      </c>
      <c r="R119" s="232"/>
      <c r="S119" s="236"/>
      <c r="X119" s="191"/>
      <c r="Y119" s="191"/>
      <c r="Z119" s="191"/>
      <c r="AA119" s="355"/>
      <c r="AB119" s="356"/>
      <c r="AC119" s="356"/>
      <c r="AD119" s="356"/>
      <c r="AW119" s="356"/>
      <c r="AX119" s="356"/>
      <c r="AY119" s="356"/>
    </row>
    <row r="120" spans="2:67">
      <c r="B120" s="356"/>
      <c r="C120" s="356"/>
      <c r="D120" s="356"/>
      <c r="G120" s="355"/>
      <c r="H120" s="355"/>
      <c r="I120" s="187"/>
      <c r="J120" s="355"/>
      <c r="K120" s="355"/>
      <c r="L120" s="355"/>
      <c r="M120" s="3"/>
      <c r="N120" s="184"/>
      <c r="O120" s="232"/>
      <c r="P120" s="177"/>
      <c r="Q120" s="357" t="s">
        <v>393</v>
      </c>
      <c r="R120" s="3"/>
      <c r="S120" s="124"/>
      <c r="X120" s="191"/>
      <c r="Y120" s="191"/>
      <c r="Z120" s="191"/>
      <c r="AA120" s="355"/>
      <c r="AB120" s="356"/>
      <c r="AC120" s="356"/>
      <c r="AD120" s="356"/>
      <c r="AW120" s="356"/>
      <c r="AX120" s="356"/>
      <c r="AY120" s="356"/>
    </row>
    <row r="121" spans="2:67">
      <c r="B121" s="356"/>
      <c r="C121" s="356"/>
      <c r="D121" s="356"/>
      <c r="G121" s="355"/>
      <c r="H121" s="355"/>
      <c r="I121" s="187"/>
      <c r="J121" s="355"/>
      <c r="K121" s="355"/>
      <c r="L121" s="355"/>
      <c r="M121" s="3"/>
      <c r="N121" s="188"/>
      <c r="O121" s="113"/>
      <c r="P121" s="178"/>
      <c r="Q121" s="359" t="s">
        <v>474</v>
      </c>
      <c r="R121" s="355" t="s">
        <v>391</v>
      </c>
      <c r="S121" s="93" t="s">
        <v>392</v>
      </c>
      <c r="X121" s="191"/>
      <c r="Y121" s="191"/>
      <c r="Z121" s="191"/>
      <c r="AA121" s="355"/>
      <c r="AB121" s="356"/>
      <c r="AC121" s="356"/>
      <c r="AD121" s="356"/>
      <c r="AW121" s="356"/>
      <c r="AX121" s="356"/>
      <c r="AY121" s="356"/>
    </row>
    <row r="122" spans="2:67">
      <c r="B122" s="356"/>
      <c r="C122" s="356"/>
      <c r="D122" s="356"/>
      <c r="G122" s="355"/>
      <c r="H122" s="355"/>
      <c r="I122" s="187" t="str">
        <f>I11</f>
        <v>Equation du premier degré</v>
      </c>
      <c r="J122" s="355"/>
      <c r="K122" s="355"/>
      <c r="L122" s="355"/>
      <c r="M122" s="3"/>
      <c r="N122" s="357">
        <f>O11</f>
        <v>7</v>
      </c>
      <c r="O122" s="184"/>
      <c r="P122" s="177">
        <f>P11</f>
        <v>44</v>
      </c>
      <c r="Q122" s="357"/>
      <c r="R122" s="3">
        <v>44</v>
      </c>
      <c r="S122" s="124">
        <v>0</v>
      </c>
      <c r="X122" s="191"/>
      <c r="Y122" s="191"/>
      <c r="Z122" s="191"/>
      <c r="AA122" s="355"/>
      <c r="AB122" s="356"/>
      <c r="AC122" s="356"/>
      <c r="AD122" s="356"/>
      <c r="AW122" s="356"/>
      <c r="AX122" s="356"/>
      <c r="AY122" s="356"/>
    </row>
    <row r="123" spans="2:67">
      <c r="B123" s="356"/>
      <c r="C123" s="356"/>
      <c r="D123" s="356"/>
      <c r="G123" s="355"/>
      <c r="H123" s="355"/>
      <c r="I123" s="187" t="str">
        <f>I19</f>
        <v>Système d’équation 3.3 (15 formes ¹ )</v>
      </c>
      <c r="J123" s="355"/>
      <c r="K123" s="355"/>
      <c r="L123" s="355"/>
      <c r="M123" s="3"/>
      <c r="N123" s="358">
        <f>O19</f>
        <v>11</v>
      </c>
      <c r="O123" s="187"/>
      <c r="P123" s="93">
        <f>P19</f>
        <v>15</v>
      </c>
      <c r="Q123" s="358">
        <v>4</v>
      </c>
      <c r="R123" s="3">
        <v>15</v>
      </c>
      <c r="S123" s="124">
        <v>10</v>
      </c>
      <c r="X123" s="191"/>
      <c r="Y123" s="191"/>
      <c r="Z123" s="191"/>
      <c r="AA123" s="355"/>
      <c r="AB123" s="356"/>
      <c r="AC123" s="356"/>
      <c r="AD123" s="356"/>
      <c r="AW123" s="356"/>
      <c r="AX123" s="356"/>
      <c r="AY123" s="356"/>
    </row>
    <row r="124" spans="2:67">
      <c r="B124" s="356"/>
      <c r="C124" s="356"/>
      <c r="D124" s="356"/>
      <c r="G124" s="355"/>
      <c r="H124" s="355"/>
      <c r="I124" s="187" t="str">
        <f>I53</f>
        <v>différentielle nième (44) ; (Formul G &amp; listes)</v>
      </c>
      <c r="J124" s="355"/>
      <c r="K124" s="355"/>
      <c r="L124" s="355"/>
      <c r="M124" s="3"/>
      <c r="N124" s="358">
        <f>O53</f>
        <v>9</v>
      </c>
      <c r="O124" s="187">
        <v>44</v>
      </c>
      <c r="P124" s="93">
        <f>P53</f>
        <v>29</v>
      </c>
      <c r="Q124" s="358"/>
      <c r="R124" s="3">
        <v>29</v>
      </c>
      <c r="S124" s="124">
        <v>10</v>
      </c>
      <c r="X124" s="191"/>
      <c r="Y124" s="191"/>
      <c r="Z124" s="191"/>
      <c r="AA124" s="355"/>
      <c r="AB124" s="356"/>
      <c r="AC124" s="356"/>
      <c r="AD124" s="356"/>
      <c r="AW124" s="356"/>
      <c r="AX124" s="356"/>
      <c r="AY124" s="356"/>
    </row>
    <row r="125" spans="2:67">
      <c r="B125" s="356"/>
      <c r="C125" s="356"/>
      <c r="D125" s="356"/>
      <c r="G125" s="355"/>
      <c r="H125" s="355"/>
      <c r="I125" s="187" t="str">
        <f>I60</f>
        <v>Intégrales usuelles de fonction de référence</v>
      </c>
      <c r="J125" s="355"/>
      <c r="K125" s="355"/>
      <c r="L125" s="355"/>
      <c r="M125" s="3"/>
      <c r="N125" s="358">
        <f>O60</f>
        <v>11</v>
      </c>
      <c r="O125" s="187"/>
      <c r="P125" s="93">
        <f>P60</f>
        <v>104</v>
      </c>
      <c r="Q125" s="358">
        <v>53</v>
      </c>
      <c r="R125" s="3">
        <f>P125-23</f>
        <v>81</v>
      </c>
      <c r="S125" s="124">
        <v>20</v>
      </c>
      <c r="X125" s="191"/>
      <c r="Y125" s="191"/>
      <c r="Z125" s="191"/>
      <c r="AA125" s="355"/>
      <c r="AB125" s="356"/>
      <c r="AC125" s="356"/>
      <c r="AD125" s="356"/>
      <c r="AW125" s="356"/>
      <c r="AX125" s="356"/>
      <c r="AY125" s="356"/>
    </row>
    <row r="126" spans="2:67">
      <c r="B126" s="356"/>
      <c r="C126" s="356"/>
      <c r="D126" s="356"/>
      <c r="G126" s="355"/>
      <c r="H126" s="355"/>
      <c r="I126" s="187" t="str">
        <f>I35</f>
        <v>Trigonométrie circulaire</v>
      </c>
      <c r="J126" s="355"/>
      <c r="K126" s="355"/>
      <c r="L126" s="355"/>
      <c r="M126" s="3"/>
      <c r="N126" s="359">
        <f>O35</f>
        <v>5</v>
      </c>
      <c r="O126" s="188"/>
      <c r="P126" s="178">
        <f>P35</f>
        <v>106</v>
      </c>
      <c r="Q126" s="359">
        <v>57</v>
      </c>
      <c r="R126" s="3"/>
      <c r="S126" s="124"/>
      <c r="X126" s="191"/>
      <c r="Y126" s="191"/>
      <c r="Z126" s="191"/>
      <c r="AA126" s="355"/>
      <c r="AB126" s="356"/>
      <c r="AC126" s="356"/>
      <c r="AD126" s="356"/>
      <c r="AW126" s="356"/>
      <c r="AX126" s="356"/>
      <c r="AY126" s="356"/>
    </row>
    <row r="127" spans="2:67">
      <c r="B127" s="356"/>
      <c r="C127" s="356"/>
      <c r="D127" s="356"/>
      <c r="G127" s="355"/>
      <c r="H127" s="355"/>
      <c r="I127" s="188"/>
      <c r="J127" s="209"/>
      <c r="K127" s="209"/>
      <c r="L127" s="209"/>
      <c r="M127" s="113"/>
      <c r="N127" s="209"/>
      <c r="O127" s="113"/>
      <c r="P127" s="209"/>
      <c r="Q127" s="209"/>
      <c r="R127" s="113"/>
      <c r="S127" s="235"/>
      <c r="X127" s="191"/>
      <c r="Y127" s="191"/>
      <c r="Z127" s="191"/>
      <c r="AA127" s="355"/>
      <c r="AB127" s="356"/>
      <c r="AC127" s="356"/>
      <c r="AD127" s="356"/>
      <c r="AW127" s="356"/>
      <c r="AX127" s="356"/>
      <c r="AY127" s="356"/>
    </row>
    <row r="128" spans="2:67">
      <c r="G128" s="297"/>
      <c r="J128" s="256"/>
      <c r="K128" s="256"/>
      <c r="L128" s="256"/>
      <c r="P128" s="256"/>
      <c r="Q128" s="256"/>
      <c r="X128" s="191"/>
      <c r="Y128" s="191"/>
      <c r="Z128" s="191"/>
      <c r="AB128" s="231"/>
      <c r="AW128" s="231"/>
      <c r="AX128" s="231"/>
      <c r="AY128" s="231"/>
      <c r="BB128" t="s">
        <v>300</v>
      </c>
      <c r="BD128" s="1" t="s">
        <v>301</v>
      </c>
      <c r="BE128" t="s">
        <v>302</v>
      </c>
      <c r="BF128" t="s">
        <v>303</v>
      </c>
      <c r="BG128" s="1" t="s">
        <v>304</v>
      </c>
      <c r="BH128" s="1" t="s">
        <v>307</v>
      </c>
      <c r="BI128" s="1" t="s">
        <v>308</v>
      </c>
      <c r="BJ128" s="32" t="s">
        <v>27</v>
      </c>
      <c r="BK128" s="134"/>
      <c r="BL128" s="134"/>
      <c r="BM128" s="134"/>
      <c r="BN128" s="134"/>
      <c r="BO128" s="134"/>
    </row>
    <row r="129" spans="1:67">
      <c r="E129">
        <v>16</v>
      </c>
      <c r="F129">
        <f>E129</f>
        <v>16</v>
      </c>
      <c r="G129" s="297"/>
      <c r="I129" s="184" t="s">
        <v>416</v>
      </c>
      <c r="J129" s="302">
        <f>F129</f>
        <v>16</v>
      </c>
      <c r="K129" s="309" t="s">
        <v>415</v>
      </c>
      <c r="L129" s="302"/>
      <c r="M129" s="232"/>
      <c r="N129" s="232"/>
      <c r="O129" s="232"/>
      <c r="P129" s="302"/>
      <c r="Q129" s="302"/>
      <c r="R129" s="232"/>
      <c r="S129" s="236"/>
      <c r="X129" s="191"/>
      <c r="Y129" s="191"/>
      <c r="Z129" s="191"/>
      <c r="AA129" s="253"/>
      <c r="AB129" s="254"/>
      <c r="AW129" s="254"/>
      <c r="AX129" s="254"/>
      <c r="AY129" s="254"/>
      <c r="BD129" s="254"/>
      <c r="BG129" s="254"/>
      <c r="BH129" s="254"/>
      <c r="BI129" s="254"/>
      <c r="BJ129" s="32"/>
      <c r="BK129" s="134"/>
      <c r="BL129" s="134"/>
      <c r="BM129" s="134"/>
      <c r="BN129" s="134"/>
      <c r="BO129" s="134"/>
    </row>
    <row r="130" spans="1:67">
      <c r="E130">
        <v>64</v>
      </c>
      <c r="F130">
        <f>E130-E129</f>
        <v>48</v>
      </c>
      <c r="G130" s="297"/>
      <c r="I130" s="187" t="s">
        <v>0</v>
      </c>
      <c r="J130" s="303">
        <f>F130</f>
        <v>48</v>
      </c>
      <c r="K130" s="308" t="s">
        <v>415</v>
      </c>
      <c r="L130" s="303"/>
      <c r="M130" s="3"/>
      <c r="N130" s="3">
        <f>J130/2</f>
        <v>24</v>
      </c>
      <c r="O130" s="3"/>
      <c r="P130" s="303"/>
      <c r="Q130" s="303"/>
      <c r="R130" s="3"/>
      <c r="S130" s="124"/>
      <c r="X130" s="191"/>
      <c r="Y130" s="191"/>
      <c r="Z130" s="191"/>
      <c r="AA130" s="255"/>
      <c r="AB130" s="256"/>
      <c r="AW130" s="256"/>
      <c r="AX130" s="256"/>
      <c r="AY130" s="256"/>
      <c r="BD130" s="256"/>
      <c r="BG130" s="256"/>
      <c r="BH130" s="256"/>
      <c r="BI130" s="256"/>
      <c r="BJ130" s="32"/>
      <c r="BK130" s="134"/>
      <c r="BL130" s="134"/>
      <c r="BM130" s="134"/>
      <c r="BN130" s="134"/>
      <c r="BO130" s="134"/>
    </row>
    <row r="131" spans="1:67">
      <c r="E131">
        <v>82</v>
      </c>
      <c r="F131">
        <f>E131-E130</f>
        <v>18</v>
      </c>
      <c r="G131" s="297"/>
      <c r="I131" s="187" t="s">
        <v>7</v>
      </c>
      <c r="J131" s="303">
        <f>F131</f>
        <v>18</v>
      </c>
      <c r="K131" s="308" t="s">
        <v>415</v>
      </c>
      <c r="L131" s="303"/>
      <c r="M131" s="3"/>
      <c r="N131" s="3"/>
      <c r="O131" s="3"/>
      <c r="P131" s="303"/>
      <c r="Q131" s="303"/>
      <c r="R131" s="3"/>
      <c r="S131" s="124"/>
      <c r="X131" s="191"/>
      <c r="Y131" s="191"/>
      <c r="Z131" s="191"/>
      <c r="AA131" s="255"/>
      <c r="AB131" s="256"/>
      <c r="AW131" s="256"/>
      <c r="AX131" s="256"/>
      <c r="AY131" s="256"/>
      <c r="BD131" s="256"/>
      <c r="BG131" s="256"/>
      <c r="BH131" s="256"/>
      <c r="BI131" s="256"/>
      <c r="BJ131" s="32"/>
      <c r="BK131" s="134"/>
      <c r="BL131" s="134"/>
      <c r="BM131" s="134"/>
      <c r="BN131" s="134"/>
      <c r="BO131" s="134"/>
    </row>
    <row r="132" spans="1:67">
      <c r="E132">
        <v>133</v>
      </c>
      <c r="F132">
        <f>E132-E131</f>
        <v>51</v>
      </c>
      <c r="G132" s="253"/>
      <c r="I132" s="187" t="s">
        <v>3</v>
      </c>
      <c r="J132" s="303">
        <f>F132</f>
        <v>51</v>
      </c>
      <c r="K132" s="308" t="s">
        <v>415</v>
      </c>
      <c r="L132" s="303"/>
      <c r="M132" s="3"/>
      <c r="N132" s="3"/>
      <c r="O132" s="3"/>
      <c r="P132" s="303"/>
      <c r="Q132" s="303"/>
      <c r="R132" s="3"/>
      <c r="S132" s="124"/>
      <c r="AA132" s="255"/>
      <c r="AB132" s="256"/>
      <c r="AW132" s="256"/>
      <c r="AX132" s="256"/>
      <c r="AY132" s="256"/>
      <c r="BD132" s="256"/>
      <c r="BG132" s="256"/>
      <c r="BH132" s="256"/>
      <c r="BI132" s="256"/>
      <c r="BJ132" s="32"/>
      <c r="BK132" s="134"/>
      <c r="BL132" s="134"/>
      <c r="BM132" s="134"/>
      <c r="BN132" s="134"/>
      <c r="BO132" s="134"/>
    </row>
    <row r="133" spans="1:67">
      <c r="E133">
        <v>168</v>
      </c>
      <c r="F133">
        <f>E133-E132</f>
        <v>35</v>
      </c>
      <c r="G133" s="4"/>
      <c r="I133" s="187" t="s">
        <v>419</v>
      </c>
      <c r="J133" s="303">
        <f>F133</f>
        <v>35</v>
      </c>
      <c r="K133" s="308" t="s">
        <v>415</v>
      </c>
      <c r="L133" s="303"/>
      <c r="M133" s="3"/>
      <c r="N133" s="3"/>
      <c r="O133" s="3"/>
      <c r="P133" s="303"/>
      <c r="Q133" s="303"/>
      <c r="R133" s="3"/>
      <c r="S133" s="124"/>
      <c r="AA133" s="297"/>
      <c r="AB133" s="298"/>
      <c r="AW133" s="298"/>
      <c r="AX133" s="298"/>
      <c r="AY133" s="298"/>
      <c r="BD133" s="298"/>
      <c r="BG133" s="298"/>
      <c r="BH133" s="298"/>
      <c r="BI133" s="298"/>
      <c r="BJ133" s="32"/>
      <c r="BK133" s="134"/>
      <c r="BL133" s="134"/>
      <c r="BM133" s="134"/>
      <c r="BN133" s="134"/>
      <c r="BO133" s="134"/>
    </row>
    <row r="134" spans="1:67">
      <c r="G134" s="4"/>
      <c r="I134" s="187" t="s">
        <v>417</v>
      </c>
      <c r="J134" s="303"/>
      <c r="K134" s="303"/>
      <c r="L134" s="303"/>
      <c r="M134" s="3"/>
      <c r="N134" s="3"/>
      <c r="O134" s="3"/>
      <c r="P134" s="303"/>
      <c r="Q134" s="303"/>
      <c r="R134" s="3"/>
      <c r="S134" s="124"/>
      <c r="AA134" s="297"/>
      <c r="AB134" s="298"/>
      <c r="AW134" s="298"/>
      <c r="AX134" s="298"/>
      <c r="AY134" s="298"/>
      <c r="BD134" s="298"/>
      <c r="BG134" s="298"/>
      <c r="BH134" s="298"/>
      <c r="BI134" s="298"/>
      <c r="BJ134" s="32"/>
      <c r="BK134" s="134"/>
      <c r="BL134" s="134"/>
      <c r="BM134" s="134"/>
      <c r="BN134" s="134"/>
      <c r="BO134" s="134"/>
    </row>
    <row r="135" spans="1:67">
      <c r="G135" s="4"/>
      <c r="I135" s="188" t="s">
        <v>418</v>
      </c>
      <c r="J135" s="209"/>
      <c r="K135" s="209"/>
      <c r="L135" s="209"/>
      <c r="M135" s="113"/>
      <c r="N135" s="113"/>
      <c r="O135" s="113"/>
      <c r="P135" s="209"/>
      <c r="Q135" s="209"/>
      <c r="R135" s="113"/>
      <c r="S135" s="235"/>
      <c r="AA135" s="297"/>
      <c r="AB135" s="298"/>
      <c r="AW135" s="298"/>
      <c r="AX135" s="298"/>
      <c r="AY135" s="298"/>
      <c r="BD135" s="298"/>
      <c r="BG135" s="298"/>
      <c r="BH135" s="298"/>
      <c r="BI135" s="298"/>
      <c r="BJ135" s="32"/>
      <c r="BK135" s="134"/>
      <c r="BL135" s="134"/>
      <c r="BM135" s="134"/>
      <c r="BN135" s="134"/>
      <c r="BO135" s="134"/>
    </row>
    <row r="136" spans="1:67">
      <c r="G136" s="4"/>
      <c r="I136" s="310" t="s">
        <v>42</v>
      </c>
      <c r="J136" s="209">
        <f>SUM(J129:J135)</f>
        <v>168</v>
      </c>
      <c r="K136" s="311" t="s">
        <v>415</v>
      </c>
      <c r="L136" s="209"/>
      <c r="M136" s="113"/>
      <c r="N136" s="113"/>
      <c r="O136" s="113"/>
      <c r="P136" s="209"/>
      <c r="Q136" s="209"/>
      <c r="R136" s="113"/>
      <c r="S136" s="235"/>
      <c r="V136" s="412" t="s">
        <v>490</v>
      </c>
      <c r="X136" s="416" t="s">
        <v>87</v>
      </c>
      <c r="AA136" s="297"/>
      <c r="AB136" s="298"/>
      <c r="AW136" s="298"/>
      <c r="AX136" s="298"/>
      <c r="AY136" s="298"/>
      <c r="BD136" s="298"/>
      <c r="BG136" s="298"/>
      <c r="BH136" s="298"/>
      <c r="BI136" s="298"/>
      <c r="BJ136" s="32"/>
      <c r="BK136" s="134"/>
      <c r="BL136" s="134"/>
      <c r="BM136" s="134"/>
      <c r="BN136" s="134"/>
      <c r="BO136" s="134"/>
    </row>
    <row r="137" spans="1:67">
      <c r="G137" s="4"/>
      <c r="V137" s="3">
        <f>+E148</f>
        <v>9</v>
      </c>
      <c r="AA137" s="297"/>
      <c r="AB137" s="298"/>
      <c r="AW137" s="298"/>
      <c r="AX137" s="298"/>
      <c r="AY137" s="298"/>
      <c r="BD137" s="298"/>
      <c r="BG137" s="298"/>
      <c r="BH137" s="298"/>
      <c r="BI137" s="298"/>
      <c r="BJ137" s="32"/>
      <c r="BK137" s="134"/>
      <c r="BL137" s="134"/>
      <c r="BM137" s="134"/>
      <c r="BN137" s="134"/>
      <c r="BO137" s="134"/>
    </row>
    <row r="138" spans="1:67">
      <c r="A138" s="413">
        <v>6</v>
      </c>
      <c r="D138" s="353">
        <v>2016</v>
      </c>
      <c r="E138">
        <v>1</v>
      </c>
      <c r="F138" t="s">
        <v>266</v>
      </c>
      <c r="G138" s="266"/>
      <c r="I138" s="184" t="s">
        <v>368</v>
      </c>
      <c r="J138" s="296"/>
      <c r="K138" s="296"/>
      <c r="L138" s="296"/>
      <c r="M138" s="467">
        <f>E147</f>
        <v>1.0833333333333333</v>
      </c>
      <c r="N138" s="450"/>
      <c r="O138" s="450"/>
      <c r="P138" s="364">
        <f>M138</f>
        <v>1.0833333333333333</v>
      </c>
      <c r="Q138" s="296"/>
      <c r="R138" s="364">
        <f>P138</f>
        <v>1.0833333333333333</v>
      </c>
      <c r="S138" s="236"/>
      <c r="V138" s="3">
        <f>F149</f>
        <v>0.75</v>
      </c>
      <c r="W138" s="3">
        <f>V137/X138</f>
        <v>0.75</v>
      </c>
      <c r="X138" s="134">
        <v>12</v>
      </c>
      <c r="AA138" s="297"/>
      <c r="AB138" s="298"/>
      <c r="AW138" s="298"/>
      <c r="AX138" s="298"/>
      <c r="AY138" s="298"/>
      <c r="BD138" s="298"/>
      <c r="BG138" s="298"/>
      <c r="BH138" s="298"/>
      <c r="BI138" s="298"/>
      <c r="BJ138" s="32"/>
      <c r="BK138" s="134"/>
      <c r="BL138" s="134"/>
      <c r="BM138" s="134"/>
      <c r="BN138" s="134"/>
      <c r="BO138" s="134"/>
    </row>
    <row r="139" spans="1:67">
      <c r="A139" s="413">
        <v>4</v>
      </c>
      <c r="C139" s="353" t="s">
        <v>488</v>
      </c>
      <c r="D139" s="353">
        <v>2017</v>
      </c>
      <c r="E139">
        <v>1</v>
      </c>
      <c r="F139" t="s">
        <v>266</v>
      </c>
      <c r="G139" s="266"/>
      <c r="I139" s="187" t="s">
        <v>369</v>
      </c>
      <c r="J139" s="297"/>
      <c r="K139" s="297"/>
      <c r="L139" s="297"/>
      <c r="M139" s="451">
        <f>M106</f>
        <v>758</v>
      </c>
      <c r="N139" s="451"/>
      <c r="O139" s="451"/>
      <c r="P139" s="355">
        <f>P106</f>
        <v>854</v>
      </c>
      <c r="Q139" s="355"/>
      <c r="R139" s="355">
        <f>R106</f>
        <v>911</v>
      </c>
      <c r="S139" s="124"/>
      <c r="V139" s="3">
        <f>M139</f>
        <v>758</v>
      </c>
      <c r="AA139" s="253"/>
      <c r="AB139" s="254"/>
      <c r="AW139" s="254"/>
      <c r="AX139" s="254"/>
      <c r="AY139" s="254"/>
      <c r="BD139" s="254"/>
      <c r="BG139" s="254"/>
      <c r="BH139" s="254"/>
      <c r="BI139" s="254"/>
      <c r="BJ139" s="32"/>
      <c r="BK139" s="134"/>
      <c r="BL139" s="134"/>
      <c r="BM139" s="134"/>
      <c r="BN139" s="134"/>
      <c r="BO139" s="134"/>
    </row>
    <row r="140" spans="1:67">
      <c r="A140" s="413" t="s">
        <v>484</v>
      </c>
      <c r="D140" s="353">
        <v>2018</v>
      </c>
      <c r="E140">
        <v>6</v>
      </c>
      <c r="F140" t="s">
        <v>266</v>
      </c>
      <c r="G140" s="4">
        <v>9</v>
      </c>
      <c r="I140" s="187" t="s">
        <v>370</v>
      </c>
      <c r="J140" s="297"/>
      <c r="K140" s="297"/>
      <c r="L140" s="297"/>
      <c r="M140" s="446">
        <f>M139/M138</f>
        <v>699.69230769230774</v>
      </c>
      <c r="N140" s="446"/>
      <c r="O140" s="446"/>
      <c r="P140" s="295">
        <f>P139/P138</f>
        <v>788.30769230769238</v>
      </c>
      <c r="Q140" s="297"/>
      <c r="R140" s="295">
        <f>R139/R138</f>
        <v>840.92307692307702</v>
      </c>
      <c r="S140" s="124"/>
      <c r="V140" s="3">
        <f>V139/V138</f>
        <v>1010.6666666666666</v>
      </c>
      <c r="BA140">
        <v>8</v>
      </c>
      <c r="BB140" t="s">
        <v>305</v>
      </c>
      <c r="BD140" s="1"/>
      <c r="BE140">
        <f>O28</f>
        <v>40.5</v>
      </c>
      <c r="BF140">
        <f>O78</f>
        <v>49</v>
      </c>
      <c r="BG140" s="1">
        <f>O44</f>
        <v>8</v>
      </c>
      <c r="BH140" s="1"/>
      <c r="BJ140">
        <f>SUM(BE140:BI140)</f>
        <v>97.5</v>
      </c>
      <c r="BK140" s="134">
        <f>BJ140*BA140</f>
        <v>780</v>
      </c>
      <c r="BL140" s="134"/>
      <c r="BM140" s="134"/>
      <c r="BN140" s="134"/>
      <c r="BO140" s="134"/>
    </row>
    <row r="141" spans="1:67">
      <c r="A141" s="413" t="s">
        <v>485</v>
      </c>
      <c r="D141" s="353">
        <v>2019</v>
      </c>
      <c r="E141">
        <v>4</v>
      </c>
      <c r="F141" t="s">
        <v>266</v>
      </c>
      <c r="G141" s="253">
        <v>9</v>
      </c>
      <c r="I141" s="187" t="s">
        <v>371</v>
      </c>
      <c r="J141" s="297"/>
      <c r="K141" s="297"/>
      <c r="L141" s="297"/>
      <c r="M141" s="446">
        <f>M139/9</f>
        <v>84.222222222222229</v>
      </c>
      <c r="N141" s="446"/>
      <c r="O141" s="446"/>
      <c r="P141" s="295">
        <f>P139/9</f>
        <v>94.888888888888886</v>
      </c>
      <c r="Q141" s="297"/>
      <c r="R141" s="295">
        <f>R139/9</f>
        <v>101.22222222222223</v>
      </c>
      <c r="S141" s="124"/>
      <c r="V141" s="3">
        <f>V140/G141</f>
        <v>112.29629629629629</v>
      </c>
      <c r="BA141">
        <v>7</v>
      </c>
      <c r="BB141" t="s">
        <v>310</v>
      </c>
      <c r="BD141" s="1"/>
      <c r="BG141" s="1"/>
      <c r="BH141" s="1"/>
      <c r="BJ141">
        <f t="shared" ref="BJ141:BJ148" si="78">SUM(BE141:BI141)</f>
        <v>0</v>
      </c>
      <c r="BK141" s="134">
        <f t="shared" ref="BK141:BK148" si="79">BJ141*BA141</f>
        <v>0</v>
      </c>
      <c r="BL141" s="134"/>
      <c r="BM141" s="134"/>
      <c r="BN141" s="134"/>
      <c r="BO141" s="134"/>
    </row>
    <row r="142" spans="1:67">
      <c r="A142" s="413" t="s">
        <v>486</v>
      </c>
      <c r="D142" s="353">
        <v>2019</v>
      </c>
      <c r="E142">
        <v>1</v>
      </c>
      <c r="F142" t="s">
        <v>266</v>
      </c>
      <c r="G142" s="255">
        <v>4</v>
      </c>
      <c r="I142" s="187" t="s">
        <v>372</v>
      </c>
      <c r="J142" s="297"/>
      <c r="K142" s="297"/>
      <c r="L142" s="297"/>
      <c r="M142" s="446">
        <f>M141/4</f>
        <v>21.055555555555557</v>
      </c>
      <c r="N142" s="446"/>
      <c r="O142" s="446"/>
      <c r="P142" s="295">
        <f>P141/4</f>
        <v>23.722222222222221</v>
      </c>
      <c r="Q142" s="297"/>
      <c r="R142" s="295">
        <f>R141/4</f>
        <v>25.305555555555557</v>
      </c>
      <c r="S142" s="124"/>
      <c r="V142" s="3">
        <f>V141/G142</f>
        <v>28.074074074074073</v>
      </c>
      <c r="BA142">
        <v>7</v>
      </c>
      <c r="BB142" t="s">
        <v>309</v>
      </c>
      <c r="BD142" s="1"/>
      <c r="BF142">
        <v>29</v>
      </c>
      <c r="BG142" s="1"/>
      <c r="BH142" s="1"/>
      <c r="BJ142">
        <f t="shared" si="78"/>
        <v>29</v>
      </c>
      <c r="BK142" s="134">
        <f t="shared" si="79"/>
        <v>203</v>
      </c>
      <c r="BL142" s="134"/>
      <c r="BM142" s="134">
        <v>29</v>
      </c>
      <c r="BN142" s="134">
        <v>4</v>
      </c>
      <c r="BO142" s="134">
        <f>BM142*BN142</f>
        <v>116</v>
      </c>
    </row>
    <row r="143" spans="1:67">
      <c r="A143" s="413" t="s">
        <v>487</v>
      </c>
      <c r="G143" s="255">
        <v>3</v>
      </c>
      <c r="I143" s="187" t="s">
        <v>373</v>
      </c>
      <c r="J143" s="297"/>
      <c r="K143" s="297"/>
      <c r="L143" s="297"/>
      <c r="M143" s="446">
        <f>M142/3</f>
        <v>7.018518518518519</v>
      </c>
      <c r="N143" s="446"/>
      <c r="O143" s="446"/>
      <c r="P143" s="295">
        <f>P142/3</f>
        <v>7.9074074074074074</v>
      </c>
      <c r="Q143" s="297"/>
      <c r="R143" s="295">
        <f>R142/3</f>
        <v>8.4351851851851851</v>
      </c>
      <c r="S143" s="124"/>
      <c r="V143" s="3">
        <f>V142/G143</f>
        <v>9.3580246913580236</v>
      </c>
      <c r="BA143">
        <v>6</v>
      </c>
      <c r="BB143" t="s">
        <v>311</v>
      </c>
      <c r="BD143" s="1"/>
      <c r="BG143" s="1"/>
      <c r="BH143" s="1"/>
      <c r="BJ143">
        <f t="shared" si="78"/>
        <v>0</v>
      </c>
      <c r="BK143" s="134">
        <f t="shared" si="79"/>
        <v>0</v>
      </c>
      <c r="BL143" s="134"/>
      <c r="BM143" s="134"/>
      <c r="BN143" s="134"/>
      <c r="BO143" s="134"/>
    </row>
    <row r="144" spans="1:67">
      <c r="E144">
        <f>SUM(E138:E143)</f>
        <v>13</v>
      </c>
      <c r="F144" t="s">
        <v>266</v>
      </c>
      <c r="G144" s="255"/>
      <c r="I144" s="188"/>
      <c r="J144" s="209"/>
      <c r="K144" s="209"/>
      <c r="L144" s="209"/>
      <c r="M144" s="113"/>
      <c r="N144" s="113"/>
      <c r="O144" s="113"/>
      <c r="P144" s="209"/>
      <c r="Q144" s="209"/>
      <c r="R144" s="113"/>
      <c r="S144" s="235"/>
      <c r="BA144">
        <v>5</v>
      </c>
      <c r="BB144" s="157">
        <v>0.1</v>
      </c>
      <c r="BC144" s="157"/>
      <c r="BD144" s="1"/>
      <c r="BF144" t="e">
        <f>#REF!</f>
        <v>#REF!</v>
      </c>
      <c r="BG144" s="1"/>
      <c r="BH144" s="1"/>
      <c r="BJ144" t="e">
        <f t="shared" si="78"/>
        <v>#REF!</v>
      </c>
      <c r="BK144" s="134" t="e">
        <f t="shared" si="79"/>
        <v>#REF!</v>
      </c>
      <c r="BL144" s="134" t="e">
        <f>BJ144*5</f>
        <v>#REF!</v>
      </c>
      <c r="BM144" s="134"/>
      <c r="BN144" s="134"/>
      <c r="BO144" s="134"/>
    </row>
    <row r="145" spans="4:67">
      <c r="E145">
        <v>12</v>
      </c>
      <c r="G145" s="255"/>
      <c r="BA145">
        <v>4</v>
      </c>
      <c r="BB145" s="157">
        <v>0.25</v>
      </c>
      <c r="BC145" s="157"/>
      <c r="BD145" s="1"/>
      <c r="BG145" s="1"/>
      <c r="BH145" s="1"/>
      <c r="BJ145">
        <f t="shared" si="78"/>
        <v>0</v>
      </c>
      <c r="BK145" s="134">
        <f t="shared" si="79"/>
        <v>0</v>
      </c>
      <c r="BL145" s="134"/>
      <c r="BM145" s="134"/>
      <c r="BN145" s="134"/>
      <c r="BO145" s="134"/>
    </row>
    <row r="146" spans="4:67">
      <c r="E146">
        <f>E144/E145</f>
        <v>1.0833333333333333</v>
      </c>
      <c r="I146" s="184" t="s">
        <v>477</v>
      </c>
      <c r="J146" s="411"/>
      <c r="K146" s="411"/>
      <c r="L146" s="411"/>
      <c r="M146" s="232"/>
      <c r="N146" s="232"/>
      <c r="O146" s="232"/>
      <c r="P146" s="411"/>
      <c r="Q146" s="411">
        <f>SUM(Q147:Q151)</f>
        <v>17</v>
      </c>
      <c r="R146" s="232"/>
      <c r="S146" s="236"/>
      <c r="Y146" s="452"/>
      <c r="Z146" s="452"/>
      <c r="BA146">
        <v>3</v>
      </c>
      <c r="BB146" s="157">
        <v>0.5</v>
      </c>
      <c r="BC146" s="157"/>
      <c r="BD146" s="1"/>
      <c r="BG146" s="1"/>
      <c r="BH146" s="1"/>
      <c r="BJ146">
        <f t="shared" si="78"/>
        <v>0</v>
      </c>
      <c r="BK146" s="134">
        <f t="shared" si="79"/>
        <v>0</v>
      </c>
      <c r="BL146" s="134"/>
      <c r="BM146" s="134"/>
      <c r="BN146" s="134"/>
      <c r="BO146" s="134"/>
    </row>
    <row r="147" spans="4:67">
      <c r="E147" s="363">
        <f>E146</f>
        <v>1.0833333333333333</v>
      </c>
      <c r="I147" s="187" t="s">
        <v>416</v>
      </c>
      <c r="J147" s="412"/>
      <c r="K147" s="412"/>
      <c r="L147" s="412"/>
      <c r="M147" s="3"/>
      <c r="N147" s="3">
        <f>P6</f>
        <v>7</v>
      </c>
      <c r="O147" s="3"/>
      <c r="P147" s="412"/>
      <c r="Q147" s="412">
        <v>1</v>
      </c>
      <c r="R147" s="3">
        <f>N147/Q147</f>
        <v>7</v>
      </c>
      <c r="S147" s="124">
        <v>3</v>
      </c>
      <c r="V147" s="3">
        <f>R147/S147</f>
        <v>2.3333333333333335</v>
      </c>
      <c r="X147" s="134">
        <v>2</v>
      </c>
      <c r="Y147" s="452">
        <f>V147/X147</f>
        <v>1.1666666666666667</v>
      </c>
      <c r="Z147" s="452"/>
      <c r="BA147">
        <v>2</v>
      </c>
      <c r="BB147" s="157">
        <v>0.75</v>
      </c>
      <c r="BC147" s="157"/>
      <c r="BD147" s="1"/>
      <c r="BG147" s="1"/>
      <c r="BH147" s="1"/>
      <c r="BJ147">
        <f t="shared" si="78"/>
        <v>0</v>
      </c>
      <c r="BK147" s="134">
        <f t="shared" si="79"/>
        <v>0</v>
      </c>
      <c r="BL147" s="134"/>
      <c r="BM147" s="134"/>
      <c r="BN147" s="134"/>
      <c r="BO147" s="134"/>
    </row>
    <row r="148" spans="4:67">
      <c r="D148" s="356" t="s">
        <v>483</v>
      </c>
      <c r="E148">
        <v>9</v>
      </c>
      <c r="F148">
        <v>12</v>
      </c>
      <c r="I148" s="187" t="s">
        <v>0</v>
      </c>
      <c r="J148" s="412"/>
      <c r="K148" s="412"/>
      <c r="L148" s="412"/>
      <c r="M148" s="3"/>
      <c r="N148" s="3">
        <f>P29-P6</f>
        <v>246</v>
      </c>
      <c r="O148" s="3"/>
      <c r="P148" s="412">
        <f>N148</f>
        <v>246</v>
      </c>
      <c r="Q148" s="412">
        <v>4</v>
      </c>
      <c r="R148" s="3">
        <f>N148/Q148</f>
        <v>61.5</v>
      </c>
      <c r="S148" s="124">
        <v>4</v>
      </c>
      <c r="V148" s="3">
        <f>R148/S148</f>
        <v>15.375</v>
      </c>
      <c r="X148" s="134">
        <v>3</v>
      </c>
      <c r="Y148" s="134">
        <f>V148/X148</f>
        <v>5.125</v>
      </c>
      <c r="BA148">
        <v>1</v>
      </c>
      <c r="BB148" t="s">
        <v>306</v>
      </c>
      <c r="BD148" s="1"/>
      <c r="BG148" s="1"/>
      <c r="BH148" s="1"/>
      <c r="BJ148">
        <f t="shared" si="78"/>
        <v>0</v>
      </c>
      <c r="BK148" s="134">
        <f t="shared" si="79"/>
        <v>0</v>
      </c>
      <c r="BL148" s="134"/>
      <c r="BM148" s="134"/>
      <c r="BN148" s="134"/>
      <c r="BO148" s="134"/>
    </row>
    <row r="149" spans="4:67">
      <c r="F149">
        <f>E148/F148</f>
        <v>0.75</v>
      </c>
      <c r="I149" s="187" t="s">
        <v>7</v>
      </c>
      <c r="J149" s="412"/>
      <c r="K149" s="412"/>
      <c r="L149" s="412"/>
      <c r="M149" s="3"/>
      <c r="N149" s="3">
        <f>P79</f>
        <v>342</v>
      </c>
      <c r="O149" s="3"/>
      <c r="P149" s="412"/>
      <c r="Q149" s="412">
        <v>4</v>
      </c>
      <c r="R149" s="3">
        <f>N149/Q149</f>
        <v>85.5</v>
      </c>
      <c r="S149" s="124">
        <v>4</v>
      </c>
      <c r="V149" s="3">
        <f t="shared" ref="V149:V150" si="80">R149/S149</f>
        <v>21.375</v>
      </c>
      <c r="X149" s="134">
        <v>3</v>
      </c>
      <c r="Y149" s="134">
        <f t="shared" ref="Y149:Y150" si="81">V149/X149</f>
        <v>7.125</v>
      </c>
      <c r="BD149" s="1"/>
      <c r="BG149" s="1"/>
      <c r="BH149" s="1"/>
      <c r="BK149" s="134" t="e">
        <f>SUM(BK140:BK148)</f>
        <v>#REF!</v>
      </c>
      <c r="BL149" s="134"/>
      <c r="BM149" s="134"/>
      <c r="BN149" s="134"/>
      <c r="BO149" s="134"/>
    </row>
    <row r="150" spans="4:67">
      <c r="I150" s="187" t="s">
        <v>475</v>
      </c>
      <c r="J150" s="412"/>
      <c r="K150" s="412"/>
      <c r="L150" s="412"/>
      <c r="M150" s="3"/>
      <c r="N150" s="3">
        <f>SUM(P49:P66)</f>
        <v>251</v>
      </c>
      <c r="O150" s="3"/>
      <c r="P150" s="412"/>
      <c r="Q150" s="412">
        <v>4</v>
      </c>
      <c r="R150" s="3">
        <f>N150/Q150</f>
        <v>62.75</v>
      </c>
      <c r="S150" s="124">
        <v>4</v>
      </c>
      <c r="V150" s="3">
        <f t="shared" si="80"/>
        <v>15.6875</v>
      </c>
      <c r="X150" s="134">
        <v>3</v>
      </c>
      <c r="Y150" s="134">
        <f t="shared" si="81"/>
        <v>5.229166666666667</v>
      </c>
    </row>
    <row r="151" spans="4:67">
      <c r="I151" s="188" t="s">
        <v>476</v>
      </c>
      <c r="J151" s="209"/>
      <c r="K151" s="209"/>
      <c r="L151" s="209"/>
      <c r="M151" s="113"/>
      <c r="N151" s="113">
        <f>SUM(P67:P78)</f>
        <v>379</v>
      </c>
      <c r="O151" s="113"/>
      <c r="P151" s="209"/>
      <c r="Q151" s="209">
        <v>4</v>
      </c>
      <c r="R151" s="113">
        <f>N151/Q151</f>
        <v>94.75</v>
      </c>
      <c r="S151" s="235">
        <v>4</v>
      </c>
      <c r="V151" s="3">
        <f>R151/S151</f>
        <v>23.6875</v>
      </c>
      <c r="X151" s="134">
        <v>3</v>
      </c>
      <c r="Y151" s="134">
        <f>V151/X151</f>
        <v>7.895833333333333</v>
      </c>
    </row>
    <row r="152" spans="4:67">
      <c r="J152" s="368"/>
      <c r="K152" s="368"/>
      <c r="L152" s="368"/>
      <c r="P152" s="368"/>
    </row>
    <row r="153" spans="4:67">
      <c r="I153" s="447" t="s">
        <v>478</v>
      </c>
      <c r="J153" s="448"/>
      <c r="K153" s="448"/>
      <c r="L153" s="448"/>
      <c r="M153" s="448"/>
      <c r="N153" s="448"/>
      <c r="O153" s="448"/>
      <c r="P153" s="448"/>
      <c r="Q153" s="448"/>
      <c r="R153" s="448"/>
      <c r="S153" s="449"/>
    </row>
    <row r="154" spans="4:67">
      <c r="I154" s="184" t="s">
        <v>368</v>
      </c>
      <c r="J154" s="366"/>
      <c r="K154" s="366"/>
      <c r="L154" s="366"/>
      <c r="M154" s="450">
        <v>2</v>
      </c>
      <c r="N154" s="450"/>
      <c r="O154" s="450"/>
      <c r="P154" s="366">
        <f>M154</f>
        <v>2</v>
      </c>
      <c r="Q154" s="366"/>
      <c r="R154" s="366">
        <f>P154</f>
        <v>2</v>
      </c>
      <c r="S154" s="236"/>
    </row>
    <row r="155" spans="4:67">
      <c r="I155" s="187" t="s">
        <v>369</v>
      </c>
      <c r="J155" s="367"/>
      <c r="K155" s="367"/>
      <c r="L155" s="367"/>
      <c r="M155" s="451">
        <f>M139</f>
        <v>758</v>
      </c>
      <c r="N155" s="451"/>
      <c r="O155" s="451"/>
      <c r="P155" s="367">
        <f>M155</f>
        <v>758</v>
      </c>
      <c r="Q155" s="367"/>
      <c r="R155" s="367">
        <f>P155</f>
        <v>758</v>
      </c>
      <c r="S155" s="124"/>
    </row>
    <row r="156" spans="4:67">
      <c r="I156" s="187" t="s">
        <v>370</v>
      </c>
      <c r="J156" s="367"/>
      <c r="K156" s="367"/>
      <c r="L156" s="367"/>
      <c r="M156" s="446">
        <f>M155/M154</f>
        <v>379</v>
      </c>
      <c r="N156" s="446"/>
      <c r="O156" s="446"/>
      <c r="P156" s="365">
        <f>P155/P154</f>
        <v>379</v>
      </c>
      <c r="Q156" s="367"/>
      <c r="R156" s="365">
        <f>R155/R154</f>
        <v>379</v>
      </c>
      <c r="S156" s="124"/>
    </row>
    <row r="157" spans="4:67">
      <c r="I157" s="187" t="s">
        <v>371</v>
      </c>
      <c r="J157" s="367"/>
      <c r="K157" s="367"/>
      <c r="L157" s="367"/>
      <c r="M157" s="446">
        <f>M156/9</f>
        <v>42.111111111111114</v>
      </c>
      <c r="N157" s="446"/>
      <c r="O157" s="446"/>
      <c r="P157" s="365">
        <f>P156/9</f>
        <v>42.111111111111114</v>
      </c>
      <c r="Q157" s="367"/>
      <c r="R157" s="365">
        <f>R156/9</f>
        <v>42.111111111111114</v>
      </c>
      <c r="S157" s="124"/>
    </row>
    <row r="158" spans="4:67">
      <c r="I158" s="187" t="s">
        <v>372</v>
      </c>
      <c r="J158" s="367"/>
      <c r="K158" s="367"/>
      <c r="L158" s="367"/>
      <c r="M158" s="446">
        <f>M157/4</f>
        <v>10.527777777777779</v>
      </c>
      <c r="N158" s="446"/>
      <c r="O158" s="446"/>
      <c r="P158" s="365">
        <f>P157/4</f>
        <v>10.527777777777779</v>
      </c>
      <c r="Q158" s="367"/>
      <c r="R158" s="365">
        <f>R157/4</f>
        <v>10.527777777777779</v>
      </c>
      <c r="S158" s="124"/>
    </row>
    <row r="159" spans="4:67">
      <c r="I159" s="187" t="s">
        <v>373</v>
      </c>
      <c r="J159" s="367"/>
      <c r="K159" s="367"/>
      <c r="L159" s="367"/>
      <c r="M159" s="446">
        <f>M158/3</f>
        <v>3.5092592592592595</v>
      </c>
      <c r="N159" s="446"/>
      <c r="O159" s="446"/>
      <c r="P159" s="365">
        <f>P158/3</f>
        <v>3.5092592592592595</v>
      </c>
      <c r="Q159" s="367"/>
      <c r="R159" s="365">
        <f>R158/3</f>
        <v>3.5092592592592595</v>
      </c>
      <c r="S159" s="124"/>
    </row>
    <row r="160" spans="4:67">
      <c r="I160" s="188"/>
      <c r="J160" s="209"/>
      <c r="K160" s="209"/>
      <c r="L160" s="209"/>
      <c r="M160" s="113"/>
      <c r="N160" s="113"/>
      <c r="O160" s="113"/>
      <c r="P160" s="209"/>
      <c r="Q160" s="209"/>
      <c r="R160" s="113"/>
      <c r="S160" s="235"/>
    </row>
  </sheetData>
  <mergeCells count="38">
    <mergeCell ref="AR2:AT2"/>
    <mergeCell ref="M140:O140"/>
    <mergeCell ref="M141:O141"/>
    <mergeCell ref="M142:O142"/>
    <mergeCell ref="M110:O110"/>
    <mergeCell ref="O3:Q3"/>
    <mergeCell ref="O30:Q30"/>
    <mergeCell ref="O46:Q46"/>
    <mergeCell ref="M105:O105"/>
    <mergeCell ref="M106:O106"/>
    <mergeCell ref="M107:O107"/>
    <mergeCell ref="M108:O108"/>
    <mergeCell ref="M109:O109"/>
    <mergeCell ref="AJ2:AM2"/>
    <mergeCell ref="AJ3:AM3"/>
    <mergeCell ref="Y147:Z147"/>
    <mergeCell ref="Y146:Z146"/>
    <mergeCell ref="AC2:AF3"/>
    <mergeCell ref="I86:S86"/>
    <mergeCell ref="X46:Y46"/>
    <mergeCell ref="X3:Y3"/>
    <mergeCell ref="X30:Y30"/>
    <mergeCell ref="I29:J29"/>
    <mergeCell ref="X87:Y87"/>
    <mergeCell ref="R3:S3"/>
    <mergeCell ref="R46:S46"/>
    <mergeCell ref="R87:S87"/>
    <mergeCell ref="R30:S30"/>
    <mergeCell ref="M143:O143"/>
    <mergeCell ref="M138:O138"/>
    <mergeCell ref="M139:O139"/>
    <mergeCell ref="M159:O159"/>
    <mergeCell ref="I153:S153"/>
    <mergeCell ref="M154:O154"/>
    <mergeCell ref="M155:O155"/>
    <mergeCell ref="M156:O156"/>
    <mergeCell ref="M157:O157"/>
    <mergeCell ref="M158:O15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P100"/>
  <sheetViews>
    <sheetView showGridLines="0" zoomScale="95" zoomScaleNormal="95" workbookViewId="0">
      <selection activeCell="B38" sqref="B38"/>
    </sheetView>
  </sheetViews>
  <sheetFormatPr baseColWidth="10" defaultRowHeight="15"/>
  <cols>
    <col min="1" max="1" width="2" customWidth="1"/>
    <col min="2" max="2" width="37.85546875" bestFit="1" customWidth="1"/>
    <col min="3" max="3" width="6.5703125" style="160" bestFit="1" customWidth="1"/>
    <col min="4" max="5" width="6.28515625" customWidth="1"/>
    <col min="6" max="6" width="5.7109375" style="160" customWidth="1"/>
    <col min="7" max="7" width="5" style="160" bestFit="1" customWidth="1"/>
    <col min="8" max="8" width="6.140625" bestFit="1" customWidth="1"/>
    <col min="9" max="9" width="5.85546875" bestFit="1" customWidth="1"/>
    <col min="10" max="11" width="4.42578125" style="134" customWidth="1"/>
    <col min="12" max="12" width="2.7109375" style="134" customWidth="1"/>
    <col min="13" max="13" width="36.85546875" style="134" customWidth="1"/>
    <col min="14" max="15" width="4.42578125" style="134" customWidth="1"/>
    <col min="16" max="16" width="6" style="134" bestFit="1" customWidth="1"/>
    <col min="17" max="19" width="4.42578125" style="134" customWidth="1"/>
    <col min="20" max="20" width="5.140625" bestFit="1" customWidth="1"/>
    <col min="21" max="21" width="6.42578125" customWidth="1"/>
    <col min="22" max="22" width="7.140625" bestFit="1" customWidth="1"/>
    <col min="23" max="23" width="2.7109375" customWidth="1"/>
    <col min="24" max="24" width="29.42578125" customWidth="1"/>
    <col min="25" max="41" width="7.140625" customWidth="1"/>
    <col min="42" max="42" width="6" customWidth="1"/>
    <col min="43" max="43" width="17.7109375" bestFit="1" customWidth="1"/>
    <col min="44" max="44" width="10.85546875" bestFit="1" customWidth="1"/>
    <col min="45" max="45" width="2.85546875" bestFit="1" customWidth="1"/>
    <col min="46" max="46" width="3" bestFit="1" customWidth="1"/>
    <col min="47" max="47" width="1.85546875" bestFit="1" customWidth="1"/>
    <col min="48" max="48" width="3" bestFit="1" customWidth="1"/>
    <col min="53" max="53" width="4.5703125" bestFit="1" customWidth="1"/>
    <col min="54" max="54" width="6" bestFit="1" customWidth="1"/>
    <col min="55" max="55" width="2.5703125" bestFit="1" customWidth="1"/>
    <col min="56" max="56" width="2.85546875" bestFit="1" customWidth="1"/>
    <col min="57" max="57" width="7.140625" bestFit="1" customWidth="1"/>
    <col min="58" max="58" width="7.140625" customWidth="1"/>
  </cols>
  <sheetData>
    <row r="2" spans="2:41" ht="15" customHeight="1">
      <c r="B2" s="35" t="str">
        <f>'nb formule'!I3</f>
        <v>Méthodes et formules démontrées</v>
      </c>
      <c r="C2" s="163"/>
      <c r="D2" s="71"/>
      <c r="E2" s="71"/>
      <c r="F2" s="71"/>
      <c r="G2" s="71"/>
      <c r="H2" s="464" t="s">
        <v>87</v>
      </c>
      <c r="I2" s="462"/>
      <c r="J2" s="459" t="s">
        <v>291</v>
      </c>
      <c r="K2" s="460"/>
      <c r="L2" s="147"/>
      <c r="M2" s="35" t="str">
        <f>B2</f>
        <v>Méthodes et formules démontrées</v>
      </c>
      <c r="N2" s="163"/>
      <c r="O2" s="71"/>
      <c r="P2" s="71"/>
      <c r="Q2" s="71">
        <v>15</v>
      </c>
      <c r="R2" s="71"/>
      <c r="S2" s="464" t="s">
        <v>87</v>
      </c>
      <c r="T2" s="462"/>
      <c r="U2" s="459" t="s">
        <v>291</v>
      </c>
      <c r="V2" s="460"/>
      <c r="W2" s="72"/>
      <c r="X2" s="161" t="str">
        <f>B2</f>
        <v>Méthodes et formules démontrées</v>
      </c>
      <c r="Y2" s="162"/>
      <c r="Z2" s="71"/>
      <c r="AA2" s="71"/>
      <c r="AB2" s="71"/>
      <c r="AC2" s="71"/>
      <c r="AD2" s="464" t="s">
        <v>87</v>
      </c>
      <c r="AE2" s="462"/>
      <c r="AF2" s="459" t="s">
        <v>291</v>
      </c>
      <c r="AG2" s="460"/>
      <c r="AH2" s="72"/>
      <c r="AI2" s="72"/>
      <c r="AJ2" s="72"/>
      <c r="AK2" s="72"/>
      <c r="AL2" s="72"/>
      <c r="AM2" s="72"/>
      <c r="AN2" s="72"/>
      <c r="AO2" s="72"/>
    </row>
    <row r="3" spans="2:41" ht="15" customHeight="1">
      <c r="B3" s="25"/>
      <c r="C3" s="26"/>
      <c r="D3" s="26" t="s">
        <v>98</v>
      </c>
      <c r="E3" s="26" t="s">
        <v>17</v>
      </c>
      <c r="F3" s="27"/>
      <c r="G3" s="27" t="s">
        <v>97</v>
      </c>
      <c r="H3" s="153" t="s">
        <v>27</v>
      </c>
      <c r="I3" s="154" t="s">
        <v>104</v>
      </c>
      <c r="J3" s="155" t="s">
        <v>295</v>
      </c>
      <c r="K3" s="155" t="s">
        <v>296</v>
      </c>
      <c r="L3" s="147"/>
      <c r="M3" s="25" t="s">
        <v>3</v>
      </c>
      <c r="N3" s="26" t="s">
        <v>148</v>
      </c>
      <c r="O3" s="26" t="s">
        <v>98</v>
      </c>
      <c r="P3" s="26" t="s">
        <v>17</v>
      </c>
      <c r="Q3" s="27"/>
      <c r="R3" s="27" t="s">
        <v>97</v>
      </c>
      <c r="S3" s="153" t="s">
        <v>27</v>
      </c>
      <c r="T3" s="154" t="s">
        <v>104</v>
      </c>
      <c r="U3" s="155" t="s">
        <v>295</v>
      </c>
      <c r="V3" s="155" t="s">
        <v>296</v>
      </c>
      <c r="W3" s="72"/>
      <c r="X3" s="28" t="s">
        <v>7</v>
      </c>
      <c r="Y3" s="26"/>
      <c r="Z3" s="26" t="s">
        <v>98</v>
      </c>
      <c r="AA3" s="26" t="s">
        <v>17</v>
      </c>
      <c r="AB3" s="27"/>
      <c r="AC3" s="27" t="s">
        <v>97</v>
      </c>
      <c r="AD3" s="153" t="s">
        <v>27</v>
      </c>
      <c r="AE3" s="154" t="s">
        <v>104</v>
      </c>
      <c r="AF3" s="155" t="s">
        <v>295</v>
      </c>
      <c r="AG3" s="155" t="s">
        <v>296</v>
      </c>
      <c r="AH3" s="72"/>
      <c r="AI3" s="72"/>
      <c r="AJ3" s="72"/>
      <c r="AK3" s="72"/>
      <c r="AL3" s="72"/>
      <c r="AM3" s="72"/>
      <c r="AN3" s="72"/>
      <c r="AO3" s="72"/>
    </row>
    <row r="4" spans="2:41" ht="27" customHeight="1">
      <c r="B4" s="73" t="e">
        <f>'nb formule'!#REF!</f>
        <v>#REF!</v>
      </c>
      <c r="C4" s="74" t="e">
        <f>'nb formule'!#REF!</f>
        <v>#REF!</v>
      </c>
      <c r="D4" s="74"/>
      <c r="E4" s="73"/>
      <c r="F4" s="73" t="e">
        <f>'nb formule'!#REF!</f>
        <v>#REF!</v>
      </c>
      <c r="G4" s="73"/>
      <c r="H4" s="73"/>
      <c r="I4" s="75"/>
      <c r="J4" s="140"/>
      <c r="K4" s="140"/>
      <c r="L4" s="147"/>
      <c r="M4" s="85" t="str">
        <f>'nb formule'!I48</f>
        <v>Formule générale des développements</v>
      </c>
      <c r="N4" s="86" t="str">
        <f>'nb formule'!J48</f>
        <v>x</v>
      </c>
      <c r="O4" s="68" t="str">
        <f>IF('nb formule'!L48=0,"",'nb formule'!L48=0)</f>
        <v/>
      </c>
      <c r="P4" s="68" t="str">
        <f>IF('nb formule'!O48=0,"",'nb formule'!O48)</f>
        <v/>
      </c>
      <c r="Q4" s="73" t="str">
        <f>IF('nb formule'!P48=0,"",'nb formule'!P48)</f>
        <v/>
      </c>
      <c r="R4" s="73">
        <f>'nb formule'!Q48</f>
        <v>0</v>
      </c>
      <c r="S4" s="73">
        <f>'nb formule'!R48</f>
        <v>5</v>
      </c>
      <c r="T4" s="77">
        <f>'nb formule'!S48</f>
        <v>0</v>
      </c>
      <c r="U4" s="142">
        <f>'nb formule'!X48</f>
        <v>0</v>
      </c>
      <c r="V4" s="142">
        <f>'nb formule'!Y48</f>
        <v>0</v>
      </c>
      <c r="W4" s="72"/>
      <c r="X4" s="76" t="str">
        <f>'nb formule'!I32</f>
        <v>Géométrie triangulaire</v>
      </c>
      <c r="Y4" s="86" t="str">
        <f>'nb formule'!J32</f>
        <v>x</v>
      </c>
      <c r="Z4" s="73" t="str">
        <f>IF('nb formule'!L32=0,"",'nb formule'!L32)</f>
        <v/>
      </c>
      <c r="AA4" s="73" t="str">
        <f>IF('nb formule'!O32=0,"",'nb formule'!O32)</f>
        <v/>
      </c>
      <c r="AB4" s="73">
        <f>IF('nb formule'!P32=0,"",'nb formule'!P32)</f>
        <v>4</v>
      </c>
      <c r="AC4" s="73">
        <f>'nb formule'!Q32</f>
        <v>0</v>
      </c>
      <c r="AD4" s="73">
        <f>'nb formule'!R32</f>
        <v>33</v>
      </c>
      <c r="AE4" s="77">
        <f>'nb formule'!S32</f>
        <v>0.12121212121212122</v>
      </c>
      <c r="AF4" s="142">
        <f>'nb formule'!X32</f>
        <v>0</v>
      </c>
      <c r="AG4" s="142">
        <f>'nb formule'!Y32</f>
        <v>0</v>
      </c>
      <c r="AH4" s="72"/>
      <c r="AI4" s="72"/>
      <c r="AJ4" s="72"/>
      <c r="AK4" s="72"/>
      <c r="AL4" s="72"/>
      <c r="AM4" s="72"/>
      <c r="AN4" s="72"/>
      <c r="AO4" s="72"/>
    </row>
    <row r="5" spans="2:41" ht="15" customHeight="1">
      <c r="B5" s="76" t="str">
        <f>'nb formule'!I5</f>
        <v>Calculs arithmético-algébrique</v>
      </c>
      <c r="C5" s="74">
        <f>'nb formule'!J5</f>
        <v>1</v>
      </c>
      <c r="D5" s="74"/>
      <c r="E5" s="73">
        <f>'nb formule'!O5</f>
        <v>8</v>
      </c>
      <c r="F5" s="73">
        <f>'nb formule'!P5</f>
        <v>34</v>
      </c>
      <c r="G5" s="73"/>
      <c r="H5" s="73">
        <f>'nb formule'!R5</f>
        <v>8</v>
      </c>
      <c r="I5" s="77">
        <f>'nb formule'!S5</f>
        <v>4.25</v>
      </c>
      <c r="J5" s="142"/>
      <c r="K5" s="142"/>
      <c r="L5" s="144"/>
      <c r="M5" s="85" t="str">
        <f>'nb formule'!I49</f>
        <v>Limites : ( limite ,n ième  )</v>
      </c>
      <c r="N5" s="86" t="str">
        <f>'nb formule'!J49</f>
        <v>x</v>
      </c>
      <c r="O5" s="68" t="str">
        <f>IF('nb formule'!L49=0,"",'nb formule'!L49=0)</f>
        <v/>
      </c>
      <c r="P5" s="68">
        <f>IF('nb formule'!O49=0,"",'nb formule'!O49)</f>
        <v>7</v>
      </c>
      <c r="Q5" s="73">
        <f>IF('nb formule'!P49=0,"",'nb formule'!P49)</f>
        <v>45</v>
      </c>
      <c r="R5" s="73">
        <f>'nb formule'!Q49</f>
        <v>0</v>
      </c>
      <c r="S5" s="73">
        <f>'nb formule'!R49</f>
        <v>15</v>
      </c>
      <c r="T5" s="77">
        <f>'nb formule'!S49</f>
        <v>3</v>
      </c>
      <c r="U5" s="142">
        <f>'nb formule'!X49</f>
        <v>0</v>
      </c>
      <c r="V5" s="142">
        <f>'nb formule'!Y49</f>
        <v>8</v>
      </c>
      <c r="W5" s="72"/>
      <c r="X5" s="76" t="str">
        <f>'nb formule'!I33</f>
        <v>Géométrie polygonales</v>
      </c>
      <c r="Y5" s="86">
        <f>'nb formule'!J33</f>
        <v>1</v>
      </c>
      <c r="Z5" s="73" t="str">
        <f>IF('nb formule'!L33=0,"",'nb formule'!L33)</f>
        <v/>
      </c>
      <c r="AA5" s="73" t="str">
        <f>IF('nb formule'!O33=0,"",'nb formule'!O33)</f>
        <v/>
      </c>
      <c r="AB5" s="73">
        <f>IF('nb formule'!P33=0,"",'nb formule'!P33)</f>
        <v>7</v>
      </c>
      <c r="AC5" s="73">
        <f>'nb formule'!Q33</f>
        <v>0</v>
      </c>
      <c r="AD5" s="73">
        <f>'nb formule'!R33</f>
        <v>7</v>
      </c>
      <c r="AE5" s="77">
        <f>'nb formule'!S33</f>
        <v>1</v>
      </c>
      <c r="AF5" s="142">
        <f>'nb formule'!X33</f>
        <v>0</v>
      </c>
      <c r="AG5" s="142">
        <f>'nb formule'!Y33</f>
        <v>0</v>
      </c>
      <c r="AH5" s="72"/>
      <c r="AI5" s="72"/>
      <c r="AJ5" s="72"/>
      <c r="AK5" s="72"/>
      <c r="AL5" s="72"/>
      <c r="AM5" s="72"/>
      <c r="AN5" s="72"/>
      <c r="AO5" s="72"/>
    </row>
    <row r="6" spans="2:41" ht="15" customHeight="1">
      <c r="B6" s="76" t="str">
        <f>'nb formule'!I6</f>
        <v>Identités remarquables</v>
      </c>
      <c r="C6" s="74">
        <f>'nb formule'!J6</f>
        <v>1</v>
      </c>
      <c r="D6" s="74"/>
      <c r="E6" s="73"/>
      <c r="F6" s="73">
        <f>'nb formule'!P6</f>
        <v>7</v>
      </c>
      <c r="G6" s="73"/>
      <c r="H6" s="73">
        <f>'nb formule'!R6</f>
        <v>11</v>
      </c>
      <c r="I6" s="77">
        <f>'nb formule'!S6</f>
        <v>0.63636363636363635</v>
      </c>
      <c r="J6" s="142"/>
      <c r="K6" s="142"/>
      <c r="L6" s="144"/>
      <c r="M6" s="85" t="str">
        <f>'nb formule'!I50</f>
        <v>Dérivée : formule générale</v>
      </c>
      <c r="N6" s="86">
        <f>'nb formule'!J50</f>
        <v>0</v>
      </c>
      <c r="O6" s="68" t="str">
        <f>IF('nb formule'!L50=0,"",'nb formule'!L50=0)</f>
        <v/>
      </c>
      <c r="P6" s="68" t="str">
        <f>IF('nb formule'!O50=0,"",'nb formule'!O50)</f>
        <v/>
      </c>
      <c r="Q6" s="73" t="str">
        <f>IF('nb formule'!P50=0,"",'nb formule'!P50)</f>
        <v/>
      </c>
      <c r="R6" s="73">
        <f>'nb formule'!Q50</f>
        <v>0</v>
      </c>
      <c r="S6" s="73">
        <f>'nb formule'!R50</f>
        <v>12</v>
      </c>
      <c r="T6" s="77">
        <f>'nb formule'!S50</f>
        <v>0</v>
      </c>
      <c r="U6" s="142">
        <f>'nb formule'!X50</f>
        <v>0</v>
      </c>
      <c r="V6" s="142">
        <f>'nb formule'!Y50</f>
        <v>0</v>
      </c>
      <c r="W6" s="72"/>
      <c r="X6" s="76" t="str">
        <f>'nb formule'!I34</f>
        <v>Géométrie plane</v>
      </c>
      <c r="Y6" s="86">
        <f>'nb formule'!J34</f>
        <v>0</v>
      </c>
      <c r="Z6" s="73" t="str">
        <f>IF('nb formule'!L34=0,"",'nb formule'!L34)</f>
        <v/>
      </c>
      <c r="AA6" s="73" t="str">
        <f>IF('nb formule'!O34=0,"",'nb formule'!O34)</f>
        <v/>
      </c>
      <c r="AB6" s="73">
        <f>IF('nb formule'!P34=0,"",'nb formule'!P34)</f>
        <v>28</v>
      </c>
      <c r="AC6" s="73">
        <f>'nb formule'!Q34</f>
        <v>0</v>
      </c>
      <c r="AD6" s="73">
        <f>'nb formule'!R34</f>
        <v>0</v>
      </c>
      <c r="AE6" s="77" t="str">
        <f>'nb formule'!S34</f>
        <v/>
      </c>
      <c r="AF6" s="142">
        <f>'nb formule'!X34</f>
        <v>0</v>
      </c>
      <c r="AG6" s="142">
        <f>'nb formule'!Y34</f>
        <v>0</v>
      </c>
      <c r="AH6" s="72"/>
      <c r="AI6" s="72"/>
      <c r="AJ6" s="72"/>
      <c r="AK6" s="72"/>
      <c r="AL6" s="72"/>
      <c r="AM6" s="72"/>
      <c r="AN6" s="72"/>
      <c r="AO6" s="72"/>
    </row>
    <row r="7" spans="2:41" ht="15" customHeight="1">
      <c r="B7" s="76" t="str">
        <f>'nb formule'!I7</f>
        <v>Analyse combinatoire</v>
      </c>
      <c r="C7" s="74" t="str">
        <f>'nb formule'!J7</f>
        <v>x</v>
      </c>
      <c r="D7" s="74"/>
      <c r="E7" s="73">
        <f>'nb formule'!O7</f>
        <v>0.5</v>
      </c>
      <c r="F7" s="73">
        <f>'nb formule'!P7</f>
        <v>6</v>
      </c>
      <c r="G7" s="73"/>
      <c r="H7" s="73">
        <f>'nb formule'!R7</f>
        <v>11</v>
      </c>
      <c r="I7" s="77">
        <f>'nb formule'!S7</f>
        <v>0.54545454545454541</v>
      </c>
      <c r="J7" s="142"/>
      <c r="K7" s="142"/>
      <c r="L7" s="144"/>
      <c r="M7" s="85" t="str">
        <f>'nb formule'!I51</f>
        <v>Dérivées premières</v>
      </c>
      <c r="N7" s="86">
        <f>'nb formule'!J51</f>
        <v>1</v>
      </c>
      <c r="O7" s="68" t="str">
        <f>IF('nb formule'!L51=0,"",'nb formule'!L51=0)</f>
        <v/>
      </c>
      <c r="P7" s="68" t="str">
        <f>IF('nb formule'!O51=0,"",'nb formule'!O51)</f>
        <v/>
      </c>
      <c r="Q7" s="73">
        <f>IF('nb formule'!P51=0,"",'nb formule'!P51)</f>
        <v>21</v>
      </c>
      <c r="R7" s="73">
        <f>'nb formule'!Q51</f>
        <v>0</v>
      </c>
      <c r="S7" s="73">
        <f>'nb formule'!R51</f>
        <v>39</v>
      </c>
      <c r="T7" s="77">
        <f>'nb formule'!S51</f>
        <v>0.53846153846153844</v>
      </c>
      <c r="U7" s="142">
        <f>'nb formule'!X51</f>
        <v>0</v>
      </c>
      <c r="V7" s="142">
        <f>'nb formule'!Y51</f>
        <v>0</v>
      </c>
      <c r="W7" s="72"/>
      <c r="X7" s="76" t="str">
        <f>'nb formule'!I35</f>
        <v>Trigonométrie circulaire</v>
      </c>
      <c r="Y7" s="86">
        <f>'nb formule'!J35</f>
        <v>1</v>
      </c>
      <c r="Z7" s="73">
        <f>IF('nb formule'!L35=0,"",'nb formule'!L35)</f>
        <v>1</v>
      </c>
      <c r="AA7" s="73">
        <f>IF('nb formule'!O35=0,"",'nb formule'!O35)</f>
        <v>5</v>
      </c>
      <c r="AB7" s="73">
        <f>IF('nb formule'!P35=0,"",'nb formule'!P35)</f>
        <v>106</v>
      </c>
      <c r="AC7" s="73">
        <f>'nb formule'!Q35</f>
        <v>-1</v>
      </c>
      <c r="AD7" s="73">
        <f>'nb formule'!R35</f>
        <v>57</v>
      </c>
      <c r="AE7" s="77">
        <f>'nb formule'!S35</f>
        <v>1.8596491228070176</v>
      </c>
      <c r="AF7" s="142">
        <f>'nb formule'!X35</f>
        <v>0</v>
      </c>
      <c r="AG7" s="142">
        <f>'nb formule'!Y35</f>
        <v>2</v>
      </c>
      <c r="AH7" s="72"/>
      <c r="AI7" s="72"/>
      <c r="AJ7" s="72"/>
      <c r="AK7" s="72"/>
      <c r="AL7" s="72"/>
      <c r="AM7" s="72"/>
      <c r="AN7" s="72"/>
      <c r="AO7" s="72"/>
    </row>
    <row r="8" spans="2:41" ht="15" customHeight="1">
      <c r="B8" s="76" t="str">
        <f>'nb formule'!I8</f>
        <v>Racine carrée, nième</v>
      </c>
      <c r="C8" s="74">
        <f>'nb formule'!J8</f>
        <v>1</v>
      </c>
      <c r="D8" s="74"/>
      <c r="E8" s="73"/>
      <c r="F8" s="73">
        <f>'nb formule'!P8</f>
        <v>2</v>
      </c>
      <c r="G8" s="73"/>
      <c r="H8" s="73">
        <f>'nb formule'!R8</f>
        <v>2</v>
      </c>
      <c r="I8" s="77">
        <f>'nb formule'!S8</f>
        <v>1</v>
      </c>
      <c r="J8" s="142"/>
      <c r="K8" s="142"/>
      <c r="L8" s="144"/>
      <c r="M8" s="85" t="str">
        <f>'nb formule'!I52</f>
        <v>dérivée successives</v>
      </c>
      <c r="N8" s="86" t="str">
        <f>'nb formule'!J52</f>
        <v>x</v>
      </c>
      <c r="O8" s="68" t="str">
        <f>IF('nb formule'!L52=0,"",'nb formule'!L52=0)</f>
        <v/>
      </c>
      <c r="P8" s="68">
        <f>IF('nb formule'!O52=0,"",'nb formule'!O52)</f>
        <v>3</v>
      </c>
      <c r="Q8" s="73">
        <f>IF('nb formule'!P52=0,"",'nb formule'!P52)</f>
        <v>7</v>
      </c>
      <c r="R8" s="73">
        <f>'nb formule'!Q52</f>
        <v>0</v>
      </c>
      <c r="S8" s="73">
        <f>'nb formule'!R52</f>
        <v>0</v>
      </c>
      <c r="T8" s="77" t="str">
        <f>'nb formule'!S52</f>
        <v/>
      </c>
      <c r="U8" s="142">
        <f>'nb formule'!X52</f>
        <v>4</v>
      </c>
      <c r="V8" s="142">
        <f>'nb formule'!Y52</f>
        <v>0</v>
      </c>
      <c r="W8" s="72"/>
      <c r="X8" s="76" t="str">
        <f>'nb formule'!I36</f>
        <v>Trigonométrie hyperbolique</v>
      </c>
      <c r="Y8" s="86">
        <f>'nb formule'!J36</f>
        <v>1</v>
      </c>
      <c r="Z8" s="73" t="str">
        <f>IF('nb formule'!L36=0,"",'nb formule'!L36)</f>
        <v/>
      </c>
      <c r="AA8" s="73">
        <f>IF('nb formule'!O36=0,"",'nb formule'!O36)</f>
        <v>1</v>
      </c>
      <c r="AB8" s="73">
        <f>IF('nb formule'!P36=0,"",'nb formule'!P36)</f>
        <v>34</v>
      </c>
      <c r="AC8" s="73">
        <f>'nb formule'!Q36</f>
        <v>0</v>
      </c>
      <c r="AD8" s="73">
        <f>'nb formule'!R36</f>
        <v>34</v>
      </c>
      <c r="AE8" s="77">
        <f>'nb formule'!S36</f>
        <v>1</v>
      </c>
      <c r="AF8" s="142">
        <f>'nb formule'!X36</f>
        <v>0</v>
      </c>
      <c r="AG8" s="142">
        <f>'nb formule'!Y36</f>
        <v>0</v>
      </c>
      <c r="AH8" s="72"/>
      <c r="AI8" s="72"/>
      <c r="AJ8" s="72"/>
      <c r="AK8" s="72"/>
      <c r="AL8" s="72"/>
      <c r="AM8" s="72"/>
      <c r="AN8" s="72"/>
      <c r="AO8" s="72"/>
    </row>
    <row r="9" spans="2:41" ht="23.25" customHeight="1">
      <c r="B9" s="76" t="str">
        <f>'nb formule'!I9</f>
        <v>Sommations</v>
      </c>
      <c r="C9" s="74">
        <f>'nb formule'!J9</f>
        <v>1</v>
      </c>
      <c r="D9" s="74"/>
      <c r="E9" s="73"/>
      <c r="F9" s="73">
        <f>'nb formule'!P9</f>
        <v>10</v>
      </c>
      <c r="G9" s="73"/>
      <c r="H9" s="73"/>
      <c r="I9" s="77" t="str">
        <f>'nb formule'!S9</f>
        <v/>
      </c>
      <c r="J9" s="142"/>
      <c r="K9" s="142"/>
      <c r="L9" s="144"/>
      <c r="M9" s="85" t="str">
        <f>'nb formule'!I53</f>
        <v>différentielle nième (44) ; (Formul G &amp; listes)</v>
      </c>
      <c r="N9" s="86">
        <f>'nb formule'!J53</f>
        <v>1</v>
      </c>
      <c r="O9" s="68" t="b">
        <f>IF('nb formule'!L53=0,"",'nb formule'!L53=0)</f>
        <v>0</v>
      </c>
      <c r="P9" s="68">
        <f>IF('nb formule'!O53=0,"",'nb formule'!O53)</f>
        <v>9</v>
      </c>
      <c r="Q9" s="73">
        <f>IF('nb formule'!P53=0,"",'nb formule'!P53)</f>
        <v>29</v>
      </c>
      <c r="R9" s="73">
        <f>'nb formule'!Q53</f>
        <v>0</v>
      </c>
      <c r="S9" s="73">
        <f>'nb formule'!R53</f>
        <v>25</v>
      </c>
      <c r="T9" s="77">
        <f>'nb formule'!S53</f>
        <v>1.1599999999999999</v>
      </c>
      <c r="U9" s="142">
        <f>'nb formule'!X53</f>
        <v>0</v>
      </c>
      <c r="V9" s="142">
        <f>'nb formule'!Y53</f>
        <v>39</v>
      </c>
      <c r="W9" s="72"/>
      <c r="X9" s="76" t="str">
        <f>'nb formule'!I37</f>
        <v>Aire, surface</v>
      </c>
      <c r="Y9" s="86">
        <f>'nb formule'!J37</f>
        <v>0</v>
      </c>
      <c r="Z9" s="73" t="str">
        <f>IF('nb formule'!L37=0,"",'nb formule'!L37)</f>
        <v/>
      </c>
      <c r="AA9" s="73" t="str">
        <f>IF('nb formule'!O37=0,"",'nb formule'!O37)</f>
        <v/>
      </c>
      <c r="AB9" s="73">
        <f>IF('nb formule'!P37=0,"",'nb formule'!P37)</f>
        <v>12</v>
      </c>
      <c r="AC9" s="73">
        <f>'nb formule'!Q37</f>
        <v>0</v>
      </c>
      <c r="AD9" s="73">
        <f>'nb formule'!R37</f>
        <v>12</v>
      </c>
      <c r="AE9" s="77">
        <f>'nb formule'!S37</f>
        <v>1</v>
      </c>
      <c r="AF9" s="142">
        <f>'nb formule'!X37</f>
        <v>0</v>
      </c>
      <c r="AG9" s="142">
        <f>'nb formule'!Y37</f>
        <v>0</v>
      </c>
      <c r="AH9" s="72"/>
      <c r="AI9" s="72"/>
      <c r="AJ9" s="72"/>
      <c r="AK9" s="72"/>
      <c r="AL9" s="72"/>
      <c r="AM9" s="72"/>
      <c r="AN9" s="72"/>
      <c r="AO9" s="72"/>
    </row>
    <row r="10" spans="2:41" ht="21" customHeight="1">
      <c r="B10" s="76" t="str">
        <f>'nb formule'!I10</f>
        <v>Polynôme rationnelle</v>
      </c>
      <c r="C10" s="78" t="str">
        <f>'nb formule'!J10</f>
        <v>x</v>
      </c>
      <c r="D10" s="74"/>
      <c r="E10" s="73"/>
      <c r="F10" s="73">
        <f>'nb formule'!P10</f>
        <v>0</v>
      </c>
      <c r="G10" s="73"/>
      <c r="H10" s="73"/>
      <c r="I10" s="77" t="str">
        <f>'nb formule'!S10</f>
        <v/>
      </c>
      <c r="J10" s="142"/>
      <c r="K10" s="142"/>
      <c r="L10" s="144"/>
      <c r="M10" s="85" t="str">
        <f>'nb formule'!I54</f>
        <v>Différentielle partielles (6 form &amp; 2 formul)</v>
      </c>
      <c r="N10" s="86" t="str">
        <f>'nb formule'!J54</f>
        <v>x</v>
      </c>
      <c r="O10" s="68" t="str">
        <f>IF('nb formule'!L54=0,"",'nb formule'!L54=0)</f>
        <v/>
      </c>
      <c r="P10" s="68">
        <f>IF('nb formule'!O54=0,"",'nb formule'!O54)</f>
        <v>3</v>
      </c>
      <c r="Q10" s="73">
        <f>IF('nb formule'!P54=0,"",'nb formule'!P54)</f>
        <v>3</v>
      </c>
      <c r="R10" s="73">
        <f>'nb formule'!Q54</f>
        <v>0</v>
      </c>
      <c r="S10" s="73">
        <f>'nb formule'!R54</f>
        <v>9</v>
      </c>
      <c r="T10" s="77">
        <f>'nb formule'!S54</f>
        <v>0.33333333333333331</v>
      </c>
      <c r="U10" s="142">
        <f>'nb formule'!X54</f>
        <v>0</v>
      </c>
      <c r="V10" s="142">
        <f>'nb formule'!Y54</f>
        <v>0</v>
      </c>
      <c r="W10" s="72"/>
      <c r="X10" s="76" t="str">
        <f>'nb formule'!I38</f>
        <v>Volume</v>
      </c>
      <c r="Y10" s="86">
        <f>'nb formule'!J38</f>
        <v>0</v>
      </c>
      <c r="Z10" s="73" t="str">
        <f>IF('nb formule'!L38=0,"",'nb formule'!L38)</f>
        <v/>
      </c>
      <c r="AA10" s="73" t="str">
        <f>IF('nb formule'!O38=0,"",'nb formule'!O38)</f>
        <v/>
      </c>
      <c r="AB10" s="73">
        <f>IF('nb formule'!P38=0,"",'nb formule'!P38)</f>
        <v>1</v>
      </c>
      <c r="AC10" s="73">
        <f>'nb formule'!Q38</f>
        <v>0</v>
      </c>
      <c r="AD10" s="73">
        <f>'nb formule'!R38</f>
        <v>14</v>
      </c>
      <c r="AE10" s="77">
        <f>'nb formule'!S38</f>
        <v>7.1428571428571425E-2</v>
      </c>
      <c r="AF10" s="142">
        <f>'nb formule'!X38</f>
        <v>0</v>
      </c>
      <c r="AG10" s="142">
        <f>'nb formule'!Y38</f>
        <v>0</v>
      </c>
      <c r="AH10" s="72"/>
      <c r="AI10" s="72"/>
      <c r="AJ10" s="72"/>
      <c r="AK10" s="72"/>
      <c r="AL10" s="72"/>
      <c r="AM10" s="72"/>
      <c r="AN10" s="72"/>
      <c r="AO10" s="72"/>
    </row>
    <row r="11" spans="2:41" ht="15" customHeight="1">
      <c r="B11" s="79" t="str">
        <f>'nb formule'!I11</f>
        <v>Equation du premier degré</v>
      </c>
      <c r="C11" s="74">
        <f>'nb formule'!J11</f>
        <v>1</v>
      </c>
      <c r="D11" s="74">
        <f>'nb formule'!L11</f>
        <v>0</v>
      </c>
      <c r="E11" s="73">
        <f>'nb formule'!O11</f>
        <v>7</v>
      </c>
      <c r="F11" s="73">
        <f>'nb formule'!P11</f>
        <v>44</v>
      </c>
      <c r="G11" s="73"/>
      <c r="H11" s="73">
        <f>'nb formule'!R11</f>
        <v>14</v>
      </c>
      <c r="I11" s="77">
        <f>'nb formule'!S11</f>
        <v>3.1428571428571428</v>
      </c>
      <c r="J11" s="142"/>
      <c r="K11" s="142"/>
      <c r="L11" s="144"/>
      <c r="M11" s="85" t="str">
        <f>'nb formule'!I56</f>
        <v>Formule générale des séries</v>
      </c>
      <c r="N11" s="86">
        <f>'nb formule'!J56</f>
        <v>1</v>
      </c>
      <c r="O11" s="68" t="str">
        <f>IF('nb formule'!L56=0,"",'nb formule'!L56=0)</f>
        <v/>
      </c>
      <c r="P11" s="68">
        <f>IF('nb formule'!O56=0,"",'nb formule'!O56)</f>
        <v>7</v>
      </c>
      <c r="Q11" s="73">
        <f>IF('nb formule'!P56=0,"",'nb formule'!P56)</f>
        <v>12</v>
      </c>
      <c r="R11" s="73">
        <f>'nb formule'!Q56</f>
        <v>0</v>
      </c>
      <c r="S11" s="73">
        <f>'nb formule'!R56</f>
        <v>34</v>
      </c>
      <c r="T11" s="77">
        <f>'nb formule'!S56</f>
        <v>0.35294117647058826</v>
      </c>
      <c r="U11" s="142">
        <f>'nb formule'!X56</f>
        <v>0</v>
      </c>
      <c r="V11" s="142">
        <f>'nb formule'!Y56</f>
        <v>19</v>
      </c>
      <c r="W11" s="72"/>
      <c r="X11" s="76" t="str">
        <f>'nb formule'!I39</f>
        <v>Géométrie Vectorielle</v>
      </c>
      <c r="Y11" s="86" t="str">
        <f>'nb formule'!J39</f>
        <v>x</v>
      </c>
      <c r="Z11" s="73" t="str">
        <f>IF('nb formule'!L39=0,"",'nb formule'!L39)</f>
        <v/>
      </c>
      <c r="AA11" s="73" t="str">
        <f>IF('nb formule'!O39=0,"",'nb formule'!O39)</f>
        <v/>
      </c>
      <c r="AB11" s="73">
        <f>IF('nb formule'!P39=0,"",'nb formule'!P39)</f>
        <v>23</v>
      </c>
      <c r="AC11" s="73">
        <f>'nb formule'!Q39</f>
        <v>12</v>
      </c>
      <c r="AD11" s="73">
        <f>'nb formule'!R39</f>
        <v>27</v>
      </c>
      <c r="AE11" s="77">
        <f>'nb formule'!S39</f>
        <v>0.85185185185185186</v>
      </c>
      <c r="AF11" s="142">
        <f>'nb formule'!X39</f>
        <v>0</v>
      </c>
      <c r="AG11" s="142">
        <f>'nb formule'!Y39</f>
        <v>0</v>
      </c>
      <c r="AH11" s="72"/>
      <c r="AI11" s="72"/>
      <c r="AJ11" s="72"/>
      <c r="AK11" s="72"/>
      <c r="AL11" s="72"/>
      <c r="AM11" s="72"/>
      <c r="AN11" s="72"/>
      <c r="AO11" s="72"/>
    </row>
    <row r="12" spans="2:41" ht="15" customHeight="1">
      <c r="B12" s="79" t="str">
        <f>'nb formule'!I12</f>
        <v>Equation polygonales (Ɣ//, Ɣ ^ ; Ɣ cord,)</v>
      </c>
      <c r="C12" s="74">
        <f>'nb formule'!J12</f>
        <v>1</v>
      </c>
      <c r="D12" s="74"/>
      <c r="E12" s="73">
        <f>'nb formule'!O12</f>
        <v>3</v>
      </c>
      <c r="F12" s="73">
        <f>'nb formule'!P12</f>
        <v>18</v>
      </c>
      <c r="G12" s="73"/>
      <c r="H12" s="73">
        <f>'nb formule'!R12</f>
        <v>15</v>
      </c>
      <c r="I12" s="77">
        <f>'nb formule'!S12</f>
        <v>1.2</v>
      </c>
      <c r="J12" s="142">
        <f>'nb formule'!X12</f>
        <v>3</v>
      </c>
      <c r="K12" s="142">
        <f>'nb formule'!Y12</f>
        <v>0</v>
      </c>
      <c r="L12" s="144"/>
      <c r="M12" s="85" t="str">
        <f>'nb formule'!I57</f>
        <v>Séries limitées :</v>
      </c>
      <c r="N12" s="86" t="str">
        <f>'nb formule'!J57</f>
        <v>x</v>
      </c>
      <c r="O12" s="68" t="str">
        <f>IF('nb formule'!L57=0,"",'nb formule'!L57=0)</f>
        <v/>
      </c>
      <c r="P12" s="68" t="str">
        <f>IF('nb formule'!O57=0,"",'nb formule'!O57)</f>
        <v/>
      </c>
      <c r="Q12" s="73">
        <f>IF('nb formule'!P57=0,"",'nb formule'!P57)</f>
        <v>9</v>
      </c>
      <c r="R12" s="73">
        <f>'nb formule'!Q57</f>
        <v>0</v>
      </c>
      <c r="S12" s="73">
        <f>'nb formule'!R57</f>
        <v>35</v>
      </c>
      <c r="T12" s="77">
        <f>'nb formule'!S57</f>
        <v>0.25714285714285712</v>
      </c>
      <c r="U12" s="142">
        <f>'nb formule'!X57</f>
        <v>0</v>
      </c>
      <c r="V12" s="142">
        <f>'nb formule'!Y57</f>
        <v>35</v>
      </c>
      <c r="W12" s="72"/>
      <c r="X12" s="76" t="str">
        <f>'nb formule'!I40</f>
        <v>Géométrie analytique</v>
      </c>
      <c r="Y12" s="86">
        <f>'nb formule'!J40</f>
        <v>0</v>
      </c>
      <c r="Z12" s="73" t="str">
        <f>IF('nb formule'!L40=0,"",'nb formule'!L40)</f>
        <v/>
      </c>
      <c r="AA12" s="73" t="str">
        <f>IF('nb formule'!O40=0,"",'nb formule'!O40)</f>
        <v/>
      </c>
      <c r="AB12" s="73" t="str">
        <f>IF('nb formule'!P40=0,"",'nb formule'!P40)</f>
        <v/>
      </c>
      <c r="AC12" s="73">
        <f>'nb formule'!Q40</f>
        <v>0</v>
      </c>
      <c r="AD12" s="73">
        <f>'nb formule'!R40</f>
        <v>55</v>
      </c>
      <c r="AE12" s="77">
        <f>'nb formule'!S40</f>
        <v>0</v>
      </c>
      <c r="AF12" s="142">
        <f>'nb formule'!X40</f>
        <v>0</v>
      </c>
      <c r="AG12" s="142">
        <f>'nb formule'!Y40</f>
        <v>0</v>
      </c>
      <c r="AH12" s="72"/>
      <c r="AI12" s="72"/>
      <c r="AJ12" s="72"/>
      <c r="AK12" s="72"/>
      <c r="AL12" s="72"/>
      <c r="AM12" s="72"/>
      <c r="AN12" s="72"/>
      <c r="AO12" s="72"/>
    </row>
    <row r="13" spans="2:41">
      <c r="B13" s="79" t="str">
        <f>'nb formule'!I13</f>
        <v>Equation du second degré</v>
      </c>
      <c r="C13" s="74">
        <f>'nb formule'!J13</f>
        <v>1</v>
      </c>
      <c r="D13" s="74">
        <f>'nb formule'!L13</f>
        <v>0</v>
      </c>
      <c r="E13" s="73">
        <f>'nb formule'!O13</f>
        <v>3</v>
      </c>
      <c r="F13" s="73">
        <f>'nb formule'!P13</f>
        <v>30</v>
      </c>
      <c r="G13" s="73"/>
      <c r="H13" s="73">
        <f>'nb formule'!R13</f>
        <v>7</v>
      </c>
      <c r="I13" s="77">
        <f>'nb formule'!S13</f>
        <v>4.2857142857142856</v>
      </c>
      <c r="J13" s="142"/>
      <c r="K13" s="142"/>
      <c r="L13" s="144"/>
      <c r="M13" s="85" t="str">
        <f>'nb formule'!I58</f>
        <v>Le nombre pi</v>
      </c>
      <c r="N13" s="86" t="str">
        <f>'nb formule'!J58</f>
        <v>x</v>
      </c>
      <c r="O13" s="68" t="str">
        <f>IF('nb formule'!L58=0,"",'nb formule'!L58=0)</f>
        <v/>
      </c>
      <c r="P13" s="68">
        <f>IF('nb formule'!O58=0,"",'nb formule'!O58)</f>
        <v>1</v>
      </c>
      <c r="Q13" s="73">
        <f>IF('nb formule'!P58=0,"",'nb formule'!P58)</f>
        <v>1</v>
      </c>
      <c r="R13" s="73">
        <f>'nb formule'!Q58</f>
        <v>0</v>
      </c>
      <c r="S13" s="73">
        <f>'nb formule'!R58</f>
        <v>4</v>
      </c>
      <c r="T13" s="77">
        <f>'nb formule'!S58</f>
        <v>0.25</v>
      </c>
      <c r="U13" s="142">
        <f>'nb formule'!X58</f>
        <v>0</v>
      </c>
      <c r="V13" s="142">
        <f>'nb formule'!Y58</f>
        <v>0</v>
      </c>
      <c r="W13" s="72"/>
      <c r="X13" s="76" t="str">
        <f>'nb formule'!I41</f>
        <v>Conique</v>
      </c>
      <c r="Y13" s="86" t="str">
        <f>'nb formule'!J41</f>
        <v>x</v>
      </c>
      <c r="Z13" s="73" t="str">
        <f>IF('nb formule'!L41=0,"",'nb formule'!L41)</f>
        <v/>
      </c>
      <c r="AA13" s="73">
        <f>IF('nb formule'!O41=0,"",'nb formule'!O41)</f>
        <v>2</v>
      </c>
      <c r="AB13" s="73">
        <f>IF('nb formule'!P41=0,"",'nb formule'!P41)</f>
        <v>5</v>
      </c>
      <c r="AC13" s="73">
        <f>'nb formule'!Q41</f>
        <v>0</v>
      </c>
      <c r="AD13" s="73">
        <f>'nb formule'!R41</f>
        <v>16</v>
      </c>
      <c r="AE13" s="77">
        <f>'nb formule'!S41</f>
        <v>0.3125</v>
      </c>
      <c r="AF13" s="142">
        <f>'nb formule'!X41</f>
        <v>0</v>
      </c>
      <c r="AG13" s="142">
        <f>'nb formule'!Y41</f>
        <v>0</v>
      </c>
      <c r="AH13" s="72"/>
      <c r="AI13" s="72"/>
      <c r="AJ13" s="72"/>
      <c r="AK13" s="72"/>
      <c r="AL13" s="72"/>
      <c r="AM13" s="72"/>
      <c r="AN13" s="72"/>
      <c r="AO13" s="72"/>
    </row>
    <row r="14" spans="2:41" ht="15" customHeight="1">
      <c r="B14" s="79" t="str">
        <f>'nb formule'!I14</f>
        <v xml:space="preserve">Equation du troisième degré </v>
      </c>
      <c r="C14" s="78" t="str">
        <f>'nb formule'!J14</f>
        <v>x</v>
      </c>
      <c r="D14" s="74"/>
      <c r="E14" s="73">
        <f>'nb formule'!O14</f>
        <v>3</v>
      </c>
      <c r="F14" s="73">
        <f>'nb formule'!P14</f>
        <v>6</v>
      </c>
      <c r="G14" s="73">
        <f>'nb formule'!Q14</f>
        <v>-3</v>
      </c>
      <c r="H14" s="73">
        <f>'nb formule'!R14</f>
        <v>7</v>
      </c>
      <c r="I14" s="77">
        <f>'nb formule'!S14</f>
        <v>0.8571428571428571</v>
      </c>
      <c r="J14" s="142"/>
      <c r="K14" s="142"/>
      <c r="L14" s="144"/>
      <c r="M14" s="85" t="str">
        <f>'nb formule'!I59</f>
        <v>Intégrale : Généralité et type d'intégration</v>
      </c>
      <c r="N14" s="86">
        <f>'nb formule'!J59</f>
        <v>1</v>
      </c>
      <c r="O14" s="68" t="str">
        <f>IF('nb formule'!L59=0,"",'nb formule'!L59=0)</f>
        <v/>
      </c>
      <c r="P14" s="68" t="str">
        <f>IF('nb formule'!O59=0,"",'nb formule'!O59)</f>
        <v/>
      </c>
      <c r="Q14" s="73">
        <f>IF('nb formule'!P59=0,"",'nb formule'!P59)</f>
        <v>16</v>
      </c>
      <c r="R14" s="73">
        <f>'nb formule'!Q59</f>
        <v>0</v>
      </c>
      <c r="S14" s="73">
        <f>'nb formule'!R59</f>
        <v>16</v>
      </c>
      <c r="T14" s="77">
        <f>'nb formule'!S59</f>
        <v>1</v>
      </c>
      <c r="U14" s="142">
        <f>'nb formule'!X59</f>
        <v>0</v>
      </c>
      <c r="V14" s="142">
        <f>'nb formule'!Y59</f>
        <v>0</v>
      </c>
      <c r="W14" s="72"/>
      <c r="X14" s="76" t="str">
        <f>'nb formule'!I42</f>
        <v>Courbes diverses</v>
      </c>
      <c r="Y14" s="86">
        <f>'nb formule'!J42</f>
        <v>0</v>
      </c>
      <c r="Z14" s="73" t="str">
        <f>IF('nb formule'!L42=0,"",'nb formule'!L42)</f>
        <v/>
      </c>
      <c r="AA14" s="73" t="str">
        <f>IF('nb formule'!O42=0,"",'nb formule'!O42)</f>
        <v/>
      </c>
      <c r="AB14" s="73" t="str">
        <f>IF('nb formule'!P42=0,"",'nb formule'!P42)</f>
        <v/>
      </c>
      <c r="AC14" s="73">
        <f>'nb formule'!Q42</f>
        <v>0</v>
      </c>
      <c r="AD14" s="73">
        <f>'nb formule'!R42</f>
        <v>42</v>
      </c>
      <c r="AE14" s="77">
        <f>'nb formule'!S42</f>
        <v>0</v>
      </c>
      <c r="AF14" s="142">
        <f>'nb formule'!X42</f>
        <v>0</v>
      </c>
      <c r="AG14" s="142">
        <f>'nb formule'!Y42</f>
        <v>0</v>
      </c>
      <c r="AH14" s="72"/>
      <c r="AI14" s="72"/>
      <c r="AJ14" s="72"/>
      <c r="AK14" s="72"/>
      <c r="AL14" s="72"/>
      <c r="AM14" s="72"/>
      <c r="AN14" s="72"/>
      <c r="AO14" s="72"/>
    </row>
    <row r="15" spans="2:41" ht="15" customHeight="1">
      <c r="B15" s="79" t="str">
        <f>'nb formule'!I15</f>
        <v>Equation du quatrième degré</v>
      </c>
      <c r="C15" s="74">
        <f>'nb formule'!J15</f>
        <v>0</v>
      </c>
      <c r="D15" s="74"/>
      <c r="E15" s="73"/>
      <c r="F15" s="73">
        <f>'nb formule'!P15</f>
        <v>0</v>
      </c>
      <c r="G15" s="73"/>
      <c r="H15" s="73">
        <f>'nb formule'!R15</f>
        <v>2</v>
      </c>
      <c r="I15" s="77">
        <f>'nb formule'!S15</f>
        <v>0</v>
      </c>
      <c r="J15" s="142"/>
      <c r="K15" s="142"/>
      <c r="L15" s="144"/>
      <c r="M15" s="85" t="str">
        <f>'nb formule'!I60</f>
        <v>Intégrales usuelles de fonction de référence</v>
      </c>
      <c r="N15" s="86" t="str">
        <f>'nb formule'!J60</f>
        <v>x</v>
      </c>
      <c r="O15" s="68" t="str">
        <f>IF('nb formule'!L60=0,"",'nb formule'!L60=0)</f>
        <v/>
      </c>
      <c r="P15" s="68">
        <f>IF('nb formule'!O60=0,"",'nb formule'!O60)</f>
        <v>11</v>
      </c>
      <c r="Q15" s="73">
        <f>IF('nb formule'!P60=0,"",'nb formule'!P60)</f>
        <v>104</v>
      </c>
      <c r="R15" s="73">
        <f>'nb formule'!Q60</f>
        <v>134</v>
      </c>
      <c r="S15" s="73">
        <f>'nb formule'!R60</f>
        <v>53</v>
      </c>
      <c r="T15" s="77">
        <f>'nb formule'!S60</f>
        <v>1.9622641509433962</v>
      </c>
      <c r="U15" s="142">
        <f>'nb formule'!X60</f>
        <v>0</v>
      </c>
      <c r="V15" s="142">
        <f>'nb formule'!Y60</f>
        <v>0</v>
      </c>
      <c r="W15" s="72"/>
      <c r="X15" s="76">
        <f>'nb formule'!I43</f>
        <v>0</v>
      </c>
      <c r="Y15" s="86">
        <f>'nb formule'!J43</f>
        <v>0</v>
      </c>
      <c r="Z15" s="73" t="str">
        <f>IF('nb formule'!L43=0,"",'nb formule'!L43)</f>
        <v/>
      </c>
      <c r="AA15" s="73" t="str">
        <f>IF('nb formule'!O43=0,"",'nb formule'!O43)</f>
        <v/>
      </c>
      <c r="AB15" s="73" t="str">
        <f>IF('nb formule'!P43=0,"",'nb formule'!P43)</f>
        <v/>
      </c>
      <c r="AC15" s="73">
        <f>'nb formule'!Q43</f>
        <v>0</v>
      </c>
      <c r="AD15" s="73">
        <f>'nb formule'!R43</f>
        <v>0</v>
      </c>
      <c r="AE15" s="77">
        <f>'nb formule'!S43</f>
        <v>0</v>
      </c>
      <c r="AF15" s="142">
        <f>'nb formule'!X43</f>
        <v>0</v>
      </c>
      <c r="AG15" s="142">
        <f>'nb formule'!Y43</f>
        <v>0</v>
      </c>
      <c r="AH15" s="72"/>
      <c r="AI15" s="72"/>
      <c r="AJ15" s="72"/>
      <c r="AK15" s="72"/>
      <c r="AL15" s="72"/>
      <c r="AM15" s="72"/>
      <c r="AN15" s="72"/>
      <c r="AO15" s="72"/>
    </row>
    <row r="16" spans="2:41" ht="15" customHeight="1">
      <c r="B16" s="79" t="str">
        <f>'nb formule'!I16</f>
        <v>Equation du cinquième degré</v>
      </c>
      <c r="C16" s="74">
        <f>'nb formule'!J16</f>
        <v>0</v>
      </c>
      <c r="D16" s="74"/>
      <c r="E16" s="73"/>
      <c r="F16" s="73">
        <f>'nb formule'!P16</f>
        <v>0</v>
      </c>
      <c r="G16" s="73"/>
      <c r="H16" s="73"/>
      <c r="I16" s="77">
        <f>'nb formule'!S16</f>
        <v>0</v>
      </c>
      <c r="J16" s="142"/>
      <c r="K16" s="142"/>
      <c r="L16" s="144"/>
      <c r="M16" s="85" t="str">
        <f>'nb formule'!I61</f>
        <v>Intégrale définie</v>
      </c>
      <c r="N16" s="86" t="str">
        <f>'nb formule'!J60</f>
        <v>x</v>
      </c>
      <c r="O16" s="68" t="str">
        <f>IF('nb formule'!L61=0,"",'nb formule'!L61=0)</f>
        <v/>
      </c>
      <c r="P16" s="68" t="str">
        <f>IF('nb formule'!O61=0,"",'nb formule'!O61)</f>
        <v/>
      </c>
      <c r="Q16" s="73" t="str">
        <f>IF('nb formule'!P61=0,"",'nb formule'!P61)</f>
        <v/>
      </c>
      <c r="R16" s="73">
        <f>'nb formule'!Q61</f>
        <v>0</v>
      </c>
      <c r="S16" s="73">
        <f>'nb formule'!R61</f>
        <v>30</v>
      </c>
      <c r="T16" s="77">
        <f>'nb formule'!S61</f>
        <v>0</v>
      </c>
      <c r="U16" s="142">
        <f>'nb formule'!X61</f>
        <v>0</v>
      </c>
      <c r="V16" s="142">
        <f>'nb formule'!Y61</f>
        <v>0</v>
      </c>
      <c r="W16" s="72"/>
      <c r="X16" s="192">
        <f>'nb formule'!I43</f>
        <v>0</v>
      </c>
      <c r="Y16" s="28">
        <f>'nb formule'!J43</f>
        <v>0</v>
      </c>
      <c r="Z16" s="28">
        <f>'nb formule'!L43</f>
        <v>0</v>
      </c>
      <c r="AA16" s="28">
        <f>'nb formule'!O43</f>
        <v>0</v>
      </c>
      <c r="AB16" s="28">
        <f>'nb formule'!P43</f>
        <v>0</v>
      </c>
      <c r="AC16" s="28">
        <f>'nb formule'!Q43</f>
        <v>0</v>
      </c>
      <c r="AD16" s="28">
        <f>'nb formule'!R43</f>
        <v>0</v>
      </c>
      <c r="AE16" s="81">
        <f>'nb formule'!S43</f>
        <v>0</v>
      </c>
      <c r="AF16" s="152">
        <f>'nb formule'!X43</f>
        <v>0</v>
      </c>
      <c r="AG16" s="152">
        <f>'nb formule'!Y43</f>
        <v>0</v>
      </c>
      <c r="AH16" s="72"/>
      <c r="AI16" s="72"/>
      <c r="AJ16" s="72"/>
      <c r="AK16" s="72"/>
      <c r="AL16" s="72"/>
      <c r="AM16" s="72"/>
      <c r="AN16" s="72"/>
      <c r="AO16" s="72"/>
    </row>
    <row r="17" spans="2:56" ht="19.5" customHeight="1">
      <c r="B17" s="79" t="str">
        <f>'nb formule'!I17</f>
        <v>Système d’équation 2 2</v>
      </c>
      <c r="C17" s="74">
        <f>'nb formule'!J17</f>
        <v>1</v>
      </c>
      <c r="D17" s="74"/>
      <c r="E17" s="73"/>
      <c r="F17" s="73">
        <f>'nb formule'!P17</f>
        <v>10</v>
      </c>
      <c r="G17" s="73"/>
      <c r="H17" s="73">
        <f>'nb formule'!R17</f>
        <v>2</v>
      </c>
      <c r="I17" s="77">
        <f>'nb formule'!S17</f>
        <v>5</v>
      </c>
      <c r="J17" s="142"/>
      <c r="K17" s="142"/>
      <c r="L17" s="144"/>
      <c r="M17" s="85" t="str">
        <f>'nb formule'!I62</f>
        <v>Intégrale double</v>
      </c>
      <c r="N17" s="86">
        <f>'nb formule'!J61</f>
        <v>0</v>
      </c>
      <c r="O17" s="68" t="str">
        <f>IF('nb formule'!L62=0,"",'nb formule'!L62=0)</f>
        <v/>
      </c>
      <c r="P17" s="68" t="str">
        <f>IF('nb formule'!O62=0,"",'nb formule'!O62)</f>
        <v/>
      </c>
      <c r="Q17" s="73" t="str">
        <f>IF('nb formule'!P62=0,"",'nb formule'!P62)</f>
        <v/>
      </c>
      <c r="R17" s="73">
        <f>'nb formule'!Q62</f>
        <v>0</v>
      </c>
      <c r="S17" s="73">
        <f>'nb formule'!R62</f>
        <v>0</v>
      </c>
      <c r="T17" s="77" t="str">
        <f>'nb formule'!S62</f>
        <v/>
      </c>
      <c r="U17" s="142">
        <f>'nb formule'!X62</f>
        <v>0</v>
      </c>
      <c r="V17" s="142">
        <f>'nb formule'!Y62</f>
        <v>0</v>
      </c>
      <c r="W17" s="72"/>
      <c r="X17" s="136" t="str">
        <f>'nb formule'!I44</f>
        <v>nombre de dossiers = 3 / 11 = 27,27%</v>
      </c>
      <c r="Y17" s="150">
        <f>'nb formule'!J44</f>
        <v>3</v>
      </c>
      <c r="Z17" s="38">
        <f>'nb formule'!L44</f>
        <v>1</v>
      </c>
      <c r="AA17" s="38">
        <f>'nb formule'!O44</f>
        <v>8</v>
      </c>
      <c r="AB17" s="151">
        <f>'nb formule'!P44</f>
        <v>220</v>
      </c>
      <c r="AC17" s="151">
        <f>'nb formule'!Q44</f>
        <v>11</v>
      </c>
      <c r="AD17" s="83">
        <f>'nb formule'!R44</f>
        <v>297</v>
      </c>
      <c r="AE17" s="84">
        <f>'nb formule'!S44</f>
        <v>0.7407407407407407</v>
      </c>
      <c r="AF17" s="145">
        <f>'nb formule'!X44</f>
        <v>0</v>
      </c>
      <c r="AG17" s="145">
        <f>'nb formule'!Y44</f>
        <v>2</v>
      </c>
      <c r="AH17" s="72"/>
      <c r="AI17" s="72"/>
      <c r="AJ17" s="72"/>
      <c r="AK17" s="72"/>
      <c r="AL17" s="72"/>
      <c r="AM17" s="72"/>
      <c r="AN17" s="72"/>
      <c r="AO17" s="72"/>
    </row>
    <row r="18" spans="2:56" ht="15" customHeight="1">
      <c r="B18" s="79" t="str">
        <f>'nb formule'!I18</f>
        <v>système d'équation 3,2</v>
      </c>
      <c r="C18" s="74">
        <f>'nb formule'!J18</f>
        <v>1</v>
      </c>
      <c r="D18" s="74"/>
      <c r="E18" s="73">
        <f>'nb formule'!O18</f>
        <v>1</v>
      </c>
      <c r="F18" s="73">
        <f>'nb formule'!P18</f>
        <v>1</v>
      </c>
      <c r="G18" s="73"/>
      <c r="H18" s="73"/>
      <c r="I18" s="77" t="str">
        <f>'nb formule'!S18</f>
        <v/>
      </c>
      <c r="J18" s="142"/>
      <c r="K18" s="142"/>
      <c r="L18" s="144"/>
      <c r="M18" s="85" t="str">
        <f>'nb formule'!I63</f>
        <v>Intégrale triple</v>
      </c>
      <c r="N18" s="86">
        <f>'nb formule'!J62</f>
        <v>0</v>
      </c>
      <c r="O18" s="68" t="str">
        <f>IF('nb formule'!L63=0,"",'nb formule'!L63=0)</f>
        <v/>
      </c>
      <c r="P18" s="68" t="str">
        <f>IF('nb formule'!O63=0,"",'nb formule'!O63)</f>
        <v/>
      </c>
      <c r="Q18" s="73" t="str">
        <f>IF('nb formule'!P63=0,"",'nb formule'!P63)</f>
        <v/>
      </c>
      <c r="R18" s="73">
        <f>'nb formule'!Q63</f>
        <v>0</v>
      </c>
      <c r="S18" s="73">
        <f>'nb formule'!R63</f>
        <v>0</v>
      </c>
      <c r="T18" s="77" t="str">
        <f>'nb formule'!S63</f>
        <v/>
      </c>
      <c r="U18" s="142">
        <f>'nb formule'!X63</f>
        <v>0</v>
      </c>
      <c r="V18" s="142">
        <f>'nb formule'!Y63</f>
        <v>0</v>
      </c>
      <c r="W18" s="72"/>
      <c r="X18" s="161" t="str">
        <f>'nb formule'!I82</f>
        <v>nombre de dossiers = 20 / 55 = 36,36%</v>
      </c>
      <c r="Y18" s="80">
        <f>'nb formule'!J82</f>
        <v>20</v>
      </c>
      <c r="Z18" s="137">
        <f>'nb formule'!L82</f>
        <v>4</v>
      </c>
      <c r="AA18" s="137">
        <f>'nb formule'!O82</f>
        <v>97.5</v>
      </c>
      <c r="AB18" s="137">
        <f>'nb formule'!P82</f>
        <v>758</v>
      </c>
      <c r="AC18" s="137">
        <f>'nb formule'!Q82</f>
        <v>116</v>
      </c>
      <c r="AD18" s="137">
        <f>'nb formule'!R82</f>
        <v>854</v>
      </c>
      <c r="AE18" s="81">
        <f>'nb formule'!S82</f>
        <v>0.88758782201405151</v>
      </c>
      <c r="AF18" s="152">
        <f>'nb formule'!X82</f>
        <v>57</v>
      </c>
      <c r="AG18" s="152">
        <f>'nb formule'!Y82</f>
        <v>119</v>
      </c>
      <c r="AH18" s="72"/>
      <c r="AI18" s="72"/>
      <c r="AJ18" s="72"/>
      <c r="AK18" s="72"/>
      <c r="AL18" s="72"/>
      <c r="AM18" s="72"/>
      <c r="AN18" s="72"/>
      <c r="AO18" s="72"/>
    </row>
    <row r="19" spans="2:56" ht="15" customHeight="1">
      <c r="B19" s="79" t="str">
        <f>'nb formule'!I19</f>
        <v>Système d’équation 3.3 (15 formes ¹ )</v>
      </c>
      <c r="C19" s="74">
        <f>'nb formule'!J19</f>
        <v>1</v>
      </c>
      <c r="D19" s="74">
        <f>'nb formule'!L19</f>
        <v>1</v>
      </c>
      <c r="E19" s="73">
        <f>'nb formule'!O19</f>
        <v>11</v>
      </c>
      <c r="F19" s="73">
        <f>'nb formule'!P19</f>
        <v>15</v>
      </c>
      <c r="G19" s="73"/>
      <c r="H19" s="73">
        <f>'nb formule'!R19</f>
        <v>4</v>
      </c>
      <c r="I19" s="77">
        <f>'nb formule'!S19</f>
        <v>3.75</v>
      </c>
      <c r="J19" s="142"/>
      <c r="K19" s="142"/>
      <c r="L19" s="144"/>
      <c r="M19" s="85" t="str">
        <f>'nb formule'!I64</f>
        <v>Equations différentielles</v>
      </c>
      <c r="N19" s="86">
        <f>'nb formule'!J63</f>
        <v>0</v>
      </c>
      <c r="O19" s="68" t="str">
        <f>IF('nb formule'!L64=0,"",'nb formule'!L64=0)</f>
        <v/>
      </c>
      <c r="P19" s="68" t="str">
        <f>IF('nb formule'!O64=0,"",'nb formule'!O64)</f>
        <v/>
      </c>
      <c r="Q19" s="73" t="str">
        <f>IF('nb formule'!P64=0,"",'nb formule'!P64)</f>
        <v/>
      </c>
      <c r="R19" s="73">
        <f>'nb formule'!Q64</f>
        <v>0</v>
      </c>
      <c r="S19" s="73">
        <f>'nb formule'!R64</f>
        <v>28</v>
      </c>
      <c r="T19" s="77">
        <f>'nb formule'!S64</f>
        <v>0</v>
      </c>
      <c r="U19" s="142">
        <f>'nb formule'!X64</f>
        <v>0</v>
      </c>
      <c r="V19" s="142">
        <f>'nb formule'!Y64</f>
        <v>0</v>
      </c>
      <c r="W19" s="72"/>
      <c r="X19" t="s">
        <v>297</v>
      </c>
      <c r="Y19" s="160"/>
      <c r="AB19" s="160"/>
      <c r="AC19" s="160"/>
      <c r="AD19">
        <f>'nb formule'!R84</f>
        <v>911</v>
      </c>
      <c r="AF19" s="144">
        <f>'nb formule'!X84</f>
        <v>57</v>
      </c>
      <c r="AG19" s="144"/>
      <c r="AH19" s="72"/>
      <c r="AI19" s="72"/>
      <c r="AJ19" s="72"/>
      <c r="AK19" s="72"/>
      <c r="AL19" s="72"/>
      <c r="AM19" s="72"/>
      <c r="AN19" s="72"/>
      <c r="AO19" s="72"/>
    </row>
    <row r="20" spans="2:56" ht="15" customHeight="1">
      <c r="B20" s="79" t="str">
        <f>'nb formule'!I20</f>
        <v>Système gaussien</v>
      </c>
      <c r="C20" s="74" t="str">
        <f>'nb formule'!J20</f>
        <v>x</v>
      </c>
      <c r="D20" s="74"/>
      <c r="E20" s="73">
        <f>'nb formule'!O20</f>
        <v>2</v>
      </c>
      <c r="F20" s="73">
        <f>'nb formule'!P20</f>
        <v>2</v>
      </c>
      <c r="G20" s="73"/>
      <c r="H20" s="73">
        <f>'nb formule'!R20</f>
        <v>1</v>
      </c>
      <c r="I20" s="77">
        <f>'nb formule'!S20</f>
        <v>2</v>
      </c>
      <c r="J20" s="142"/>
      <c r="K20" s="142"/>
      <c r="L20" s="144"/>
      <c r="M20" s="85" t="str">
        <f>'nb formule'!I65</f>
        <v>Equations quadratique</v>
      </c>
      <c r="N20" s="86">
        <f>'nb formule'!J64</f>
        <v>0</v>
      </c>
      <c r="O20" s="68" t="str">
        <f>IF('nb formule'!L65=0,"",'nb formule'!L65=0)</f>
        <v/>
      </c>
      <c r="P20" s="68" t="str">
        <f>IF('nb formule'!O65=0,"",'nb formule'!O65)</f>
        <v/>
      </c>
      <c r="Q20" s="73">
        <f>IF('nb formule'!P65=0,"",'nb formule'!P65)</f>
        <v>4</v>
      </c>
      <c r="R20" s="73">
        <f>'nb formule'!Q65</f>
        <v>0</v>
      </c>
      <c r="S20" s="73">
        <f>'nb formule'!R65</f>
        <v>8</v>
      </c>
      <c r="T20" s="77">
        <f>'nb formule'!S65</f>
        <v>0.5</v>
      </c>
      <c r="U20" s="142">
        <f>'nb formule'!X65</f>
        <v>0</v>
      </c>
      <c r="V20" s="142">
        <f>'nb formule'!Y65</f>
        <v>0</v>
      </c>
      <c r="W20" s="72"/>
      <c r="AI20" s="72"/>
      <c r="AJ20" s="72"/>
      <c r="AK20" s="72"/>
      <c r="AL20" s="72"/>
      <c r="AM20" s="72"/>
      <c r="AN20" s="72"/>
      <c r="AO20" s="72"/>
    </row>
    <row r="21" spans="2:56" ht="15" customHeight="1">
      <c r="B21" s="79" t="str">
        <f>'nb formule'!I21</f>
        <v>Equation polynomiales</v>
      </c>
      <c r="C21" s="74">
        <f>'nb formule'!J21</f>
        <v>0</v>
      </c>
      <c r="D21" s="74"/>
      <c r="E21" s="73"/>
      <c r="F21" s="73"/>
      <c r="G21" s="73"/>
      <c r="H21" s="73"/>
      <c r="I21" s="77">
        <f>'nb formule'!S21</f>
        <v>0</v>
      </c>
      <c r="J21" s="142"/>
      <c r="K21" s="142"/>
      <c r="L21" s="144"/>
      <c r="M21" s="85" t="str">
        <f>'nb formule'!I66</f>
        <v>Fonctions</v>
      </c>
      <c r="N21" s="86">
        <f>'nb formule'!J65</f>
        <v>0</v>
      </c>
      <c r="O21" s="68" t="str">
        <f>IF('nb formule'!L66=0,"",'nb formule'!L66=0)</f>
        <v/>
      </c>
      <c r="P21" s="68" t="str">
        <f>IF('nb formule'!O66=0,"",'nb formule'!O66)</f>
        <v/>
      </c>
      <c r="Q21" s="73" t="str">
        <f>IF('nb formule'!P66=0,"",'nb formule'!P66)</f>
        <v/>
      </c>
      <c r="R21" s="73">
        <f>'nb formule'!Q66</f>
        <v>0</v>
      </c>
      <c r="S21" s="73">
        <f>'nb formule'!R66</f>
        <v>35</v>
      </c>
      <c r="T21" s="77">
        <f>'nb formule'!S66</f>
        <v>0</v>
      </c>
      <c r="U21" s="142">
        <f>'nb formule'!X66</f>
        <v>1190</v>
      </c>
      <c r="V21" s="142">
        <f>'nb formule'!Y66</f>
        <v>0</v>
      </c>
      <c r="W21" s="72"/>
      <c r="X21" s="35" t="s">
        <v>106</v>
      </c>
      <c r="Y21" s="165" t="s">
        <v>150</v>
      </c>
      <c r="Z21" s="36"/>
      <c r="AA21" s="36"/>
      <c r="AB21" s="36"/>
      <c r="AC21" s="36"/>
      <c r="AD21" s="465" t="s">
        <v>87</v>
      </c>
      <c r="AE21" s="466"/>
      <c r="AF21" s="459" t="s">
        <v>291</v>
      </c>
      <c r="AG21" s="460"/>
      <c r="AH21" s="138"/>
      <c r="AI21" s="72"/>
      <c r="AJ21" s="72"/>
      <c r="AK21" s="72"/>
      <c r="AL21" s="72"/>
      <c r="AM21" s="72"/>
      <c r="AN21" s="72"/>
      <c r="AO21" s="72"/>
    </row>
    <row r="22" spans="2:56" ht="15" customHeight="1">
      <c r="B22" s="79" t="str">
        <f>'nb formule'!I22</f>
        <v>Nombres complexes</v>
      </c>
      <c r="C22" s="74">
        <f>'nb formule'!J22</f>
        <v>1</v>
      </c>
      <c r="D22" s="74"/>
      <c r="E22" s="73"/>
      <c r="F22" s="73">
        <f>'nb formule'!P22</f>
        <v>35</v>
      </c>
      <c r="G22" s="73">
        <f>'nb formule'!Q22</f>
        <v>-5</v>
      </c>
      <c r="H22" s="73">
        <f>'nb formule'!R22</f>
        <v>40</v>
      </c>
      <c r="I22" s="77">
        <f>'nb formule'!S22</f>
        <v>0.875</v>
      </c>
      <c r="J22" s="142"/>
      <c r="K22" s="142"/>
      <c r="L22" s="144"/>
      <c r="M22" s="85" t="str">
        <f>'nb formule'!I67</f>
        <v>Fonction Polynomiales</v>
      </c>
      <c r="N22" s="136">
        <f>'nb formule'!J66</f>
        <v>0</v>
      </c>
      <c r="O22" s="68" t="str">
        <f>IF('nb formule'!L67=0,"",'nb formule'!L67=0)</f>
        <v/>
      </c>
      <c r="P22" s="68">
        <f>IF('nb formule'!O67=0,"",'nb formule'!O67)</f>
        <v>2</v>
      </c>
      <c r="Q22" s="73">
        <f>IF('nb formule'!P67=0,"",'nb formule'!P67)</f>
        <v>36</v>
      </c>
      <c r="R22" s="83">
        <f>'nb formule'!Q67</f>
        <v>0</v>
      </c>
      <c r="S22" s="83">
        <f>'nb formule'!R67</f>
        <v>34</v>
      </c>
      <c r="T22" s="84">
        <f>'nb formule'!S67</f>
        <v>1.0588235294117647</v>
      </c>
      <c r="U22" s="142">
        <f>'nb formule'!X67</f>
        <v>20</v>
      </c>
      <c r="V22" s="142">
        <f>'nb formule'!Y67</f>
        <v>0</v>
      </c>
      <c r="W22" s="72"/>
      <c r="X22" s="68"/>
      <c r="Y22" s="32" t="s">
        <v>148</v>
      </c>
      <c r="Z22" s="32" t="s">
        <v>98</v>
      </c>
      <c r="AA22" s="32" t="s">
        <v>17</v>
      </c>
      <c r="AB22" s="32"/>
      <c r="AC22" s="32" t="s">
        <v>97</v>
      </c>
      <c r="AD22" s="32" t="s">
        <v>27</v>
      </c>
      <c r="AE22" s="69" t="s">
        <v>104</v>
      </c>
      <c r="AF22" s="155" t="s">
        <v>295</v>
      </c>
      <c r="AG22" s="155" t="s">
        <v>296</v>
      </c>
      <c r="AH22" s="141"/>
      <c r="AI22" s="72"/>
      <c r="AJ22" s="72"/>
      <c r="AK22" s="72"/>
      <c r="AL22" s="72"/>
      <c r="AM22" s="72"/>
      <c r="AN22" s="72"/>
      <c r="AO22" s="72"/>
    </row>
    <row r="23" spans="2:56" ht="15" customHeight="1">
      <c r="B23" s="79" t="str">
        <f>'nb formule'!I23</f>
        <v>Calculs matriciels</v>
      </c>
      <c r="C23" s="78" t="str">
        <f>'nb formule'!J23</f>
        <v>x</v>
      </c>
      <c r="D23" s="74"/>
      <c r="E23" s="73"/>
      <c r="F23" s="73">
        <f>'nb formule'!P23</f>
        <v>11</v>
      </c>
      <c r="G23" s="73"/>
      <c r="H23" s="73">
        <f>'nb formule'!R23</f>
        <v>0</v>
      </c>
      <c r="I23" s="77" t="str">
        <f>'nb formule'!S23</f>
        <v/>
      </c>
      <c r="J23" s="142"/>
      <c r="K23" s="142"/>
      <c r="L23" s="144"/>
      <c r="M23" s="85" t="str">
        <f>'nb formule'!I71</f>
        <v>Fonctions Rationnelles</v>
      </c>
      <c r="N23" s="68">
        <f>'nb formule'!J67</f>
        <v>1</v>
      </c>
      <c r="O23" s="68" t="str">
        <f>IF('nb formule'!L71=0,"",'nb formule'!L71=0)</f>
        <v/>
      </c>
      <c r="P23" s="68" t="str">
        <f>IF('nb formule'!O71=0,"",'nb formule'!O71)</f>
        <v/>
      </c>
      <c r="Q23" s="73" t="str">
        <f>IF('nb formule'!P71=0,"",'nb formule'!P71)</f>
        <v/>
      </c>
      <c r="R23" s="73">
        <f>'nb formule'!Q71</f>
        <v>0</v>
      </c>
      <c r="S23" s="73">
        <f>'nb formule'!R71</f>
        <v>0</v>
      </c>
      <c r="T23" s="77" t="str">
        <f>'nb formule'!S71</f>
        <v/>
      </c>
      <c r="U23" s="142">
        <f>'nb formule'!X71</f>
        <v>0</v>
      </c>
      <c r="V23" s="142">
        <f>'nb formule'!Y71</f>
        <v>0</v>
      </c>
      <c r="W23" s="72"/>
      <c r="X23" s="37" t="str">
        <f>'nb formule'!I89</f>
        <v xml:space="preserve">Algèbre ( 12 dossiers  / 23 = 52,17% ) </v>
      </c>
      <c r="Y23" s="165" t="str">
        <f>'nb formule'!J89</f>
        <v>52,17%</v>
      </c>
      <c r="Z23" s="38">
        <f>'nb formule'!L89</f>
        <v>1</v>
      </c>
      <c r="AA23" s="38">
        <f>'nb formule'!O89</f>
        <v>40.5</v>
      </c>
      <c r="AB23" s="165">
        <f>'nb formule'!P89</f>
        <v>250</v>
      </c>
      <c r="AC23" s="165">
        <f>'nb formule'!Q89</f>
        <v>-8</v>
      </c>
      <c r="AD23" s="165">
        <f>'nb formule'!R89</f>
        <v>160</v>
      </c>
      <c r="AE23" s="39">
        <f>'nb formule'!S89</f>
        <v>1.5625</v>
      </c>
      <c r="AF23" s="166">
        <f>'nb formule'!X89</f>
        <v>3</v>
      </c>
      <c r="AG23" s="142"/>
      <c r="AH23" s="142">
        <f>'nb formule'!Z89</f>
        <v>163</v>
      </c>
      <c r="AI23" s="72"/>
      <c r="AJ23" s="72"/>
      <c r="AK23" s="72"/>
      <c r="AL23" s="72"/>
      <c r="AM23" s="72"/>
      <c r="AN23" s="72"/>
      <c r="AO23" s="72"/>
    </row>
    <row r="24" spans="2:56" ht="15" customHeight="1">
      <c r="B24" s="79" t="str">
        <f>'nb formule'!I24</f>
        <v>Suite numérique</v>
      </c>
      <c r="C24" s="74">
        <f>'nb formule'!J24</f>
        <v>1</v>
      </c>
      <c r="D24" s="74"/>
      <c r="E24" s="73"/>
      <c r="F24" s="73">
        <f>'nb formule'!P24</f>
        <v>6</v>
      </c>
      <c r="G24" s="73"/>
      <c r="H24" s="73">
        <f>'nb formule'!R24</f>
        <v>6</v>
      </c>
      <c r="I24" s="77">
        <f>'nb formule'!S24</f>
        <v>1</v>
      </c>
      <c r="J24" s="142"/>
      <c r="K24" s="142"/>
      <c r="L24" s="144"/>
      <c r="M24" s="85" t="str">
        <f>'nb formule'!I72</f>
        <v>Fonction Irrationnelles</v>
      </c>
      <c r="N24" s="68">
        <f>'nb formule'!J71</f>
        <v>0</v>
      </c>
      <c r="O24" s="68" t="str">
        <f>IF('nb formule'!L72=0,"",'nb formule'!L72=0)</f>
        <v/>
      </c>
      <c r="P24" s="68" t="str">
        <f>IF('nb formule'!O72=0,"",'nb formule'!O72)</f>
        <v/>
      </c>
      <c r="Q24" s="73" t="str">
        <f>IF('nb formule'!P72=0,"",'nb formule'!P72)</f>
        <v/>
      </c>
      <c r="R24" s="73">
        <f>'nb formule'!Q72</f>
        <v>0</v>
      </c>
      <c r="S24" s="73">
        <f>'nb formule'!R72</f>
        <v>0</v>
      </c>
      <c r="T24" s="77" t="str">
        <f>'nb formule'!S72</f>
        <v/>
      </c>
      <c r="U24" s="142">
        <f>'nb formule'!X72</f>
        <v>0</v>
      </c>
      <c r="V24" s="142">
        <f>'nb formule'!Y72</f>
        <v>0</v>
      </c>
      <c r="W24" s="72"/>
      <c r="X24" s="40" t="str">
        <f>'nb formule'!I90</f>
        <v xml:space="preserve">Analyse ( 5 dossiers / 21 = 23,8% ) </v>
      </c>
      <c r="Y24" s="42" t="str">
        <f>'nb formule'!J90</f>
        <v>23,8%</v>
      </c>
      <c r="Z24" s="32">
        <f>'nb formule'!L90</f>
        <v>1</v>
      </c>
      <c r="AA24" s="32">
        <f>'nb formule'!O90</f>
        <v>49</v>
      </c>
      <c r="AB24" s="32">
        <f>'nb formule'!P90</f>
        <v>288</v>
      </c>
      <c r="AC24" s="32">
        <f>'nb formule'!Q90</f>
        <v>113</v>
      </c>
      <c r="AD24" s="32">
        <f>'nb formule'!R90</f>
        <v>397</v>
      </c>
      <c r="AE24" s="43">
        <f>'nb formule'!S90</f>
        <v>0.72544080604534</v>
      </c>
      <c r="AF24" s="166">
        <f>'nb formule'!X90</f>
        <v>54</v>
      </c>
      <c r="AG24" s="139">
        <f>AG1</f>
        <v>0</v>
      </c>
      <c r="AH24" s="142">
        <f>'nb formule'!Z90</f>
        <v>451</v>
      </c>
      <c r="AI24" s="72"/>
      <c r="AJ24" s="72"/>
      <c r="AK24" s="72"/>
      <c r="AL24" s="72"/>
      <c r="AM24" s="72"/>
      <c r="AN24" s="72"/>
      <c r="AO24" s="72"/>
    </row>
    <row r="25" spans="2:56" ht="15" customHeight="1">
      <c r="B25" s="79" t="str">
        <f>'nb formule'!I25</f>
        <v>S. arithmétique, géométrique, logarithmique</v>
      </c>
      <c r="C25" s="74">
        <f>'nb formule'!J25</f>
        <v>1</v>
      </c>
      <c r="D25" s="74"/>
      <c r="E25" s="73"/>
      <c r="F25" s="73"/>
      <c r="G25" s="73"/>
      <c r="H25" s="73">
        <f>'nb formule'!R25</f>
        <v>20</v>
      </c>
      <c r="I25" s="77">
        <f>'nb formule'!S25</f>
        <v>0.5</v>
      </c>
      <c r="J25" s="142"/>
      <c r="K25" s="142"/>
      <c r="L25" s="144"/>
      <c r="M25" s="85" t="str">
        <f>'nb formule'!I73</f>
        <v>Fonctions trigonométriques</v>
      </c>
      <c r="N25" s="68">
        <f>'nb formule'!J72</f>
        <v>0</v>
      </c>
      <c r="O25" s="68" t="str">
        <f>IF('nb formule'!L73=0,"",'nb formule'!L73=0)</f>
        <v/>
      </c>
      <c r="P25" s="68">
        <f>IF('nb formule'!O73=0,"",'nb formule'!O73)</f>
        <v>3</v>
      </c>
      <c r="Q25" s="73" t="str">
        <f>IF('nb formule'!P73=0,"",'nb formule'!P73)</f>
        <v/>
      </c>
      <c r="R25" s="73">
        <f>'nb formule'!Q73</f>
        <v>0</v>
      </c>
      <c r="S25" s="73">
        <f>'nb formule'!R73</f>
        <v>0</v>
      </c>
      <c r="T25" s="77" t="str">
        <f>'nb formule'!S73</f>
        <v/>
      </c>
      <c r="U25" s="142">
        <f>'nb formule'!X73</f>
        <v>0</v>
      </c>
      <c r="V25" s="142">
        <f>'nb formule'!Y73</f>
        <v>0</v>
      </c>
      <c r="W25" s="72"/>
      <c r="X25" s="44" t="str">
        <f>'nb formule'!I91</f>
        <v xml:space="preserve">Géométrie ( 3 dossiers / 11 = 27,27% ) </v>
      </c>
      <c r="Y25" s="46" t="str">
        <f>'nb formule'!J91</f>
        <v>27,27%</v>
      </c>
      <c r="Z25" s="34">
        <f>'nb formule'!L91</f>
        <v>1</v>
      </c>
      <c r="AA25" s="34">
        <f>'nb formule'!O91</f>
        <v>8</v>
      </c>
      <c r="AB25" s="34">
        <f>'nb formule'!P91</f>
        <v>220</v>
      </c>
      <c r="AC25" s="34">
        <f>'nb formule'!Q91</f>
        <v>11</v>
      </c>
      <c r="AD25" s="34">
        <f>'nb formule'!R91</f>
        <v>297</v>
      </c>
      <c r="AE25" s="47">
        <f>'nb formule'!S91</f>
        <v>0.7407407407407407</v>
      </c>
      <c r="AF25" s="167">
        <f>'nb formule'!X91</f>
        <v>0</v>
      </c>
      <c r="AG25" s="143"/>
      <c r="AH25" s="143">
        <f>'nb formule'!Z91</f>
        <v>297</v>
      </c>
      <c r="AI25" s="72"/>
      <c r="AJ25" s="72"/>
      <c r="AK25" s="72"/>
      <c r="AL25" s="72"/>
      <c r="AM25" s="72"/>
      <c r="AN25" s="72"/>
      <c r="AO25" s="72"/>
    </row>
    <row r="26" spans="2:56" ht="15" customHeight="1">
      <c r="B26" s="79" t="str">
        <f>'nb formule'!I26</f>
        <v>Calculs financier</v>
      </c>
      <c r="C26" s="74">
        <f>'nb formule'!J26</f>
        <v>0</v>
      </c>
      <c r="D26" s="74"/>
      <c r="E26" s="73"/>
      <c r="F26" s="73"/>
      <c r="G26" s="73"/>
      <c r="H26" s="73">
        <f>'nb formule'!R26</f>
        <v>13</v>
      </c>
      <c r="I26" s="77">
        <f>'nb formule'!S26</f>
        <v>0.46153846153846156</v>
      </c>
      <c r="J26" s="142"/>
      <c r="K26" s="142"/>
      <c r="L26" s="144"/>
      <c r="M26" s="85" t="str">
        <f>'nb formule'!I74</f>
        <v>Fonctions trigonométrique réciproques</v>
      </c>
      <c r="N26" s="68">
        <f>'nb formule'!J73</f>
        <v>0</v>
      </c>
      <c r="O26" s="68" t="str">
        <f>IF('nb formule'!L74=0,"",'nb formule'!L74=0)</f>
        <v/>
      </c>
      <c r="P26" s="68" t="str">
        <f>IF('nb formule'!O74=0,"",'nb formule'!O74)</f>
        <v/>
      </c>
      <c r="Q26" s="73">
        <f>IF('nb formule'!P74=0,"",'nb formule'!P74)</f>
        <v>39</v>
      </c>
      <c r="R26" s="73">
        <f>'nb formule'!Q74</f>
        <v>0</v>
      </c>
      <c r="S26" s="73">
        <f>'nb formule'!R74</f>
        <v>36</v>
      </c>
      <c r="T26" s="77">
        <f>'nb formule'!S74</f>
        <v>1.0833333333333333</v>
      </c>
      <c r="U26" s="142">
        <f>'nb formule'!X74</f>
        <v>30</v>
      </c>
      <c r="V26" s="142">
        <f>'nb formule'!Y74</f>
        <v>0</v>
      </c>
      <c r="W26" s="72"/>
      <c r="X26" s="41"/>
      <c r="Y26" s="42"/>
      <c r="Z26" s="41"/>
      <c r="AA26" s="32"/>
      <c r="AB26" s="42"/>
      <c r="AC26" s="42"/>
      <c r="AD26" s="42"/>
      <c r="AE26" s="48"/>
      <c r="AF26" s="144"/>
      <c r="AG26" s="144"/>
      <c r="AH26" s="144"/>
      <c r="AI26" s="72"/>
      <c r="AJ26" s="72"/>
      <c r="AK26" s="72"/>
      <c r="AL26" s="72"/>
      <c r="AM26" s="72"/>
      <c r="AN26" s="72"/>
      <c r="AO26" s="72"/>
    </row>
    <row r="27" spans="2:56" ht="20.25" customHeight="1">
      <c r="B27" s="76" t="e">
        <f>'nb formule'!#REF!</f>
        <v>#REF!</v>
      </c>
      <c r="C27" s="74" t="e">
        <f>'nb formule'!#REF!</f>
        <v>#REF!</v>
      </c>
      <c r="D27" s="74"/>
      <c r="E27" s="73"/>
      <c r="F27" s="73"/>
      <c r="G27" s="73"/>
      <c r="H27" s="73" t="e">
        <f>'nb formule'!#REF!</f>
        <v>#REF!</v>
      </c>
      <c r="I27" s="77" t="e">
        <f>'nb formule'!#REF!</f>
        <v>#REF!</v>
      </c>
      <c r="J27" s="142"/>
      <c r="K27" s="142"/>
      <c r="L27" s="144"/>
      <c r="M27" s="85" t="str">
        <f>'nb formule'!I75</f>
        <v>Fonction exponentielles</v>
      </c>
      <c r="N27" s="68">
        <f>'nb formule'!J74</f>
        <v>0</v>
      </c>
      <c r="O27" s="68" t="str">
        <f>IF('nb formule'!L75=0,"",'nb formule'!L75=0)</f>
        <v/>
      </c>
      <c r="P27" s="68">
        <f>IF('nb formule'!O75=0,"",'nb formule'!O75)</f>
        <v>1</v>
      </c>
      <c r="Q27" s="73" t="str">
        <f>IF('nb formule'!P75=0,"",'nb formule'!P75)</f>
        <v/>
      </c>
      <c r="R27" s="73">
        <f>'nb formule'!Q75</f>
        <v>0</v>
      </c>
      <c r="S27" s="73">
        <f>'nb formule'!R75</f>
        <v>0</v>
      </c>
      <c r="T27" s="77" t="str">
        <f>'nb formule'!S75</f>
        <v/>
      </c>
      <c r="U27" s="142">
        <f>'nb formule'!X75</f>
        <v>0</v>
      </c>
      <c r="V27" s="142">
        <f>'nb formule'!Y75</f>
        <v>0</v>
      </c>
      <c r="W27" s="72"/>
      <c r="X27" s="49" t="s">
        <v>42</v>
      </c>
      <c r="Y27" s="164"/>
      <c r="Z27" s="26">
        <f>'nb formule'!L93</f>
        <v>4</v>
      </c>
      <c r="AA27" s="89">
        <f>'nb formule'!O93</f>
        <v>97.5</v>
      </c>
      <c r="AB27" s="164">
        <f>'nb formule'!P93</f>
        <v>758</v>
      </c>
      <c r="AC27" s="164">
        <f>'nb formule'!Q93</f>
        <v>116</v>
      </c>
      <c r="AD27" s="164">
        <f>'nb formule'!R93</f>
        <v>854</v>
      </c>
      <c r="AE27" s="50">
        <f>'nb formule'!S93</f>
        <v>0.88758782201405151</v>
      </c>
      <c r="AF27" s="145"/>
      <c r="AG27" s="145"/>
      <c r="AH27" s="145">
        <f>AH23+AH24+AH25</f>
        <v>911</v>
      </c>
      <c r="AI27" s="72"/>
      <c r="AJ27" s="72"/>
      <c r="AK27" s="72"/>
      <c r="AL27" s="72"/>
      <c r="AM27" s="72"/>
      <c r="AN27" s="72"/>
      <c r="AO27" s="72"/>
      <c r="AQ27" s="5"/>
      <c r="AR27" s="5"/>
      <c r="AS27" s="5"/>
      <c r="AT27" s="63"/>
      <c r="AU27" s="64"/>
      <c r="AW27" s="65"/>
    </row>
    <row r="28" spans="2:56">
      <c r="B28" s="25">
        <f>BG27</f>
        <v>0</v>
      </c>
      <c r="C28" s="80">
        <f>'nb formule'!J28</f>
        <v>12</v>
      </c>
      <c r="D28" s="26">
        <f>'nb formule'!L28</f>
        <v>2</v>
      </c>
      <c r="E28" s="26">
        <f>'nb formule'!O28</f>
        <v>40.5</v>
      </c>
      <c r="F28" s="27">
        <f>'nb formule'!P28</f>
        <v>250</v>
      </c>
      <c r="G28" s="27">
        <f>'nb formule'!Q28</f>
        <v>-8</v>
      </c>
      <c r="H28" s="137">
        <f>'nb formule'!R28</f>
        <v>160</v>
      </c>
      <c r="I28" s="81">
        <f>'nb formule'!S28</f>
        <v>1.5625</v>
      </c>
      <c r="J28" s="152">
        <f>'nb formule'!X28</f>
        <v>3</v>
      </c>
      <c r="K28" s="152">
        <f>'nb formule'!Y28</f>
        <v>16</v>
      </c>
      <c r="L28" s="144"/>
      <c r="M28" s="85" t="str">
        <f>'nb formule'!I76</f>
        <v xml:space="preserve">Fonctions Logarithmes (21+ 16 - 7 ) </v>
      </c>
      <c r="N28" s="68">
        <f>'nb formule'!J75</f>
        <v>0</v>
      </c>
      <c r="O28" s="68" t="str">
        <f>IF('nb formule'!L76=0,"",'nb formule'!L76=0)</f>
        <v/>
      </c>
      <c r="P28" s="68">
        <f>IF('nb formule'!O76=0,"",'nb formule'!O76)</f>
        <v>2</v>
      </c>
      <c r="Q28" s="73">
        <f>IF('nb formule'!P76=0,"",'nb formule'!P76)</f>
        <v>16</v>
      </c>
      <c r="R28" s="73">
        <f>'nb formule'!Q76</f>
        <v>-21</v>
      </c>
      <c r="S28" s="73">
        <f>'nb formule'!R76</f>
        <v>33</v>
      </c>
      <c r="T28" s="77">
        <f>'nb formule'!S76</f>
        <v>0.48484848484848486</v>
      </c>
      <c r="U28" s="142">
        <f>'nb formule'!X76</f>
        <v>0</v>
      </c>
      <c r="V28" s="142">
        <f>'nb formule'!Y76</f>
        <v>0</v>
      </c>
      <c r="W28" s="72"/>
      <c r="X28" s="67" t="str">
        <f>'nb formule'!I94</f>
        <v>nombre de dossiers = 20 / 55 = 36,36%</v>
      </c>
      <c r="Y28" s="62">
        <f>'nb formule'!J94</f>
        <v>0.72</v>
      </c>
      <c r="Z28" s="70">
        <f>'nb formule'!L94</f>
        <v>0.1111111111111111</v>
      </c>
      <c r="AA28" s="164">
        <f>'nb formule'!O94</f>
        <v>0</v>
      </c>
      <c r="AB28" s="90">
        <f>'nb formule'!P94</f>
        <v>0.12862796833773088</v>
      </c>
      <c r="AC28" s="91">
        <f>'nb formule'!Q94</f>
        <v>0</v>
      </c>
      <c r="AD28" s="90">
        <f>'nb formule'!R94</f>
        <v>0.11416861826697892</v>
      </c>
      <c r="AE28" s="66"/>
      <c r="AF28" s="143"/>
      <c r="AG28" s="143"/>
      <c r="AH28" s="143"/>
      <c r="AI28" s="72"/>
      <c r="AJ28" s="72"/>
      <c r="AK28" s="72"/>
      <c r="AL28" s="72"/>
      <c r="AM28" s="72"/>
      <c r="AN28" s="72"/>
      <c r="AO28" s="72"/>
      <c r="AT28" s="63"/>
      <c r="AU28" s="64"/>
    </row>
    <row r="29" spans="2:56">
      <c r="B29" s="82"/>
      <c r="C29" s="32"/>
      <c r="D29" s="32"/>
      <c r="E29" s="32"/>
      <c r="F29" s="32">
        <f>'nb formule'!P29</f>
        <v>253</v>
      </c>
      <c r="G29" s="32"/>
      <c r="H29" s="32">
        <f>'nb formule'!R29</f>
        <v>163</v>
      </c>
      <c r="I29" s="48"/>
      <c r="J29" s="144"/>
      <c r="K29" s="144"/>
      <c r="L29" s="144"/>
      <c r="M29" s="85" t="str">
        <f>'nb formule'!I77</f>
        <v>Fonction hyperbolqiue</v>
      </c>
      <c r="N29" s="68" t="str">
        <f>'nb formule'!J76</f>
        <v>x</v>
      </c>
      <c r="O29" s="68" t="str">
        <f>IF('nb formule'!L77=0,"",'nb formule'!L77=0)</f>
        <v/>
      </c>
      <c r="P29" s="68" t="str">
        <f>IF('nb formule'!O77=0,"",'nb formule'!O77)</f>
        <v/>
      </c>
      <c r="Q29" s="73" t="str">
        <f>IF('nb formule'!P77=0,"",'nb formule'!P77)</f>
        <v/>
      </c>
      <c r="R29" s="73">
        <f>'nb formule'!Q77</f>
        <v>0</v>
      </c>
      <c r="S29" s="73">
        <f>'nb formule'!R77</f>
        <v>0</v>
      </c>
      <c r="T29" s="77">
        <f>'nb formule'!S77</f>
        <v>0</v>
      </c>
      <c r="U29" s="142">
        <f>'nb formule'!X77</f>
        <v>0</v>
      </c>
      <c r="V29" s="142">
        <f>'nb formule'!Y77</f>
        <v>0</v>
      </c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</row>
    <row r="30" spans="2:56" ht="15" customHeight="1">
      <c r="W30" s="72"/>
      <c r="X30" s="37" t="str">
        <f>'objet construit'!AQ5</f>
        <v xml:space="preserve">Nombre d'objet découvert : 20 / 83 = 24,09 % </v>
      </c>
      <c r="Y30" s="101"/>
      <c r="Z30" s="101"/>
      <c r="AA30" s="101"/>
      <c r="AB30" s="101"/>
      <c r="AC30" s="101"/>
      <c r="AD30" s="101"/>
      <c r="AE30" s="101"/>
      <c r="AF30" s="101"/>
      <c r="AG30" s="414"/>
      <c r="AH30" s="72"/>
      <c r="AI30" s="72"/>
      <c r="AJ30" s="72"/>
      <c r="AK30" s="72"/>
      <c r="AL30" s="72"/>
      <c r="AM30" s="72"/>
      <c r="AN30" s="72"/>
      <c r="AO30" s="72"/>
      <c r="AU30" s="64"/>
    </row>
    <row r="31" spans="2:56" s="3" customFormat="1" ht="15" customHeight="1">
      <c r="L31" s="147"/>
      <c r="M31" s="25" t="str">
        <f>'nb formule'!I78</f>
        <v>nombre de dossiers = 5 / 21 = 23,8%</v>
      </c>
      <c r="N31" s="80">
        <f>'nb formule'!J78</f>
        <v>5</v>
      </c>
      <c r="O31" s="26">
        <f>'nb formule'!L78</f>
        <v>1</v>
      </c>
      <c r="P31" s="28">
        <f>IF('nb formule'!O78=0,"",'nb formule'!O78)</f>
        <v>49</v>
      </c>
      <c r="Q31" s="137">
        <f>'nb formule'!P78</f>
        <v>288</v>
      </c>
      <c r="R31" s="137">
        <f>'nb formule'!Q78</f>
        <v>113</v>
      </c>
      <c r="S31" s="137">
        <f>'nb formule'!R78</f>
        <v>397</v>
      </c>
      <c r="T31" s="81">
        <f>'nb formule'!S78</f>
        <v>0.72544080604534</v>
      </c>
      <c r="U31" s="137">
        <f>'nb formule'!X78</f>
        <v>54</v>
      </c>
      <c r="V31" s="156">
        <f>'nb formule'!Y78</f>
        <v>101</v>
      </c>
      <c r="W31" s="41"/>
      <c r="X31" s="40" t="str">
        <f>'objet construit'!AQ6</f>
        <v xml:space="preserve">Nombre d'objet modifié :  22 / 83 = 26,5 % </v>
      </c>
      <c r="AG31" s="124"/>
      <c r="AI31" s="41"/>
      <c r="AJ31" s="41"/>
      <c r="AK31" s="41"/>
      <c r="AL31" s="41"/>
      <c r="AM31" s="41"/>
      <c r="AN31" s="41"/>
      <c r="AO31" s="41"/>
      <c r="AU31" s="64"/>
      <c r="BD31"/>
    </row>
    <row r="32" spans="2:56" ht="15" customHeight="1">
      <c r="L32" s="147"/>
      <c r="M32" s="82"/>
      <c r="N32" s="32"/>
      <c r="O32" s="32"/>
      <c r="P32" s="32"/>
      <c r="Q32" s="32">
        <f>'nb formule'!P79</f>
        <v>342</v>
      </c>
      <c r="R32" s="32"/>
      <c r="S32" s="32">
        <f>'nb formule'!R79</f>
        <v>451</v>
      </c>
      <c r="T32" s="48"/>
      <c r="U32" s="144"/>
      <c r="V32" s="144"/>
      <c r="W32" s="72"/>
      <c r="X32" s="40" t="str">
        <f>'objet construit'!AQ7</f>
        <v xml:space="preserve">Nombre d'objet tracé : 29 / 83 = 34,93 % </v>
      </c>
      <c r="Y32" s="3"/>
      <c r="Z32" s="3"/>
      <c r="AA32" s="3"/>
      <c r="AB32" s="3"/>
      <c r="AC32" s="3"/>
      <c r="AD32" s="3"/>
      <c r="AE32" s="3"/>
      <c r="AF32" s="3"/>
      <c r="AG32" s="124"/>
      <c r="AI32" s="72"/>
      <c r="AJ32" s="72"/>
      <c r="AK32" s="72"/>
      <c r="AL32" s="72"/>
      <c r="AM32" s="72"/>
      <c r="AN32" s="72"/>
      <c r="AO32" s="72"/>
      <c r="AU32" s="64"/>
    </row>
    <row r="33" spans="12:49" ht="15" customHeight="1">
      <c r="L33" s="144"/>
      <c r="W33" s="72"/>
      <c r="X33" s="44" t="str">
        <f>'objet construit'!AQ8</f>
        <v xml:space="preserve">Nombre d'objet Découvert ou Modifié : 42 / 83 = 50,6 % </v>
      </c>
      <c r="Y33" s="113"/>
      <c r="Z33" s="113"/>
      <c r="AA33" s="113"/>
      <c r="AB33" s="113"/>
      <c r="AC33" s="113"/>
      <c r="AD33" s="113"/>
      <c r="AE33" s="113"/>
      <c r="AF33" s="113"/>
      <c r="AG33" s="235"/>
      <c r="AI33" s="72"/>
      <c r="AJ33" s="72"/>
      <c r="AK33" s="72"/>
      <c r="AL33" s="72"/>
      <c r="AM33" s="72"/>
      <c r="AN33" s="72"/>
      <c r="AO33" s="72"/>
      <c r="AU33" s="64"/>
    </row>
    <row r="34" spans="12:49" ht="15" customHeight="1">
      <c r="L34" s="144"/>
      <c r="W34" s="72"/>
      <c r="AI34" s="72"/>
      <c r="AJ34" s="72"/>
      <c r="AK34" s="72"/>
      <c r="AL34" s="72"/>
      <c r="AM34" s="72"/>
      <c r="AN34" s="72"/>
      <c r="AO34" s="72"/>
      <c r="AU34" s="64"/>
    </row>
    <row r="35" spans="12:49" ht="15" customHeight="1">
      <c r="L35" s="144"/>
      <c r="M35" s="144"/>
      <c r="N35" s="144"/>
      <c r="O35" s="144"/>
      <c r="P35" s="144"/>
      <c r="Q35" s="144"/>
      <c r="R35" s="144"/>
      <c r="S35" s="144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U35" s="64"/>
    </row>
    <row r="36" spans="12:49" ht="15" customHeight="1">
      <c r="L36" s="144"/>
      <c r="M36" s="144"/>
      <c r="N36" s="144"/>
      <c r="O36" s="144"/>
      <c r="P36" s="144"/>
      <c r="Q36" s="144"/>
      <c r="R36" s="144"/>
      <c r="S36" s="144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U36" s="64"/>
    </row>
    <row r="37" spans="12:49" ht="15" customHeight="1">
      <c r="L37" s="144"/>
      <c r="M37" s="144"/>
      <c r="N37" s="144"/>
      <c r="O37" s="144"/>
      <c r="P37" s="144"/>
      <c r="Q37" s="144"/>
      <c r="R37" s="144"/>
      <c r="S37" s="144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U37" s="64"/>
    </row>
    <row r="38" spans="12:49" ht="15" customHeight="1">
      <c r="L38" s="144"/>
      <c r="M38" s="144"/>
      <c r="N38" s="144"/>
      <c r="O38" s="144"/>
      <c r="P38" s="144"/>
      <c r="Q38" s="144"/>
      <c r="R38" s="144"/>
      <c r="S38" s="144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U38" s="64"/>
    </row>
    <row r="39" spans="12:49" ht="15" customHeight="1">
      <c r="L39" s="144"/>
      <c r="M39" s="144"/>
      <c r="N39" s="144"/>
      <c r="O39" s="144"/>
      <c r="P39" s="144"/>
      <c r="Q39" s="144"/>
      <c r="R39" s="144"/>
      <c r="S39" s="144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U39" s="64"/>
    </row>
    <row r="40" spans="12:49" ht="15" customHeight="1">
      <c r="L40" s="149"/>
      <c r="M40" s="144"/>
      <c r="N40" s="144"/>
      <c r="O40" s="144"/>
      <c r="P40" s="144"/>
      <c r="Q40" s="144"/>
      <c r="R40" s="144"/>
      <c r="S40" s="144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U40" s="64"/>
    </row>
    <row r="41" spans="12:49" ht="15" customHeight="1">
      <c r="L41" s="144"/>
      <c r="M41" s="144"/>
      <c r="N41" s="144"/>
      <c r="O41" s="144"/>
      <c r="P41" s="144"/>
      <c r="Q41" s="144"/>
      <c r="R41" s="144"/>
      <c r="S41" s="144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U41" s="64"/>
    </row>
    <row r="42" spans="12:49" ht="15" customHeight="1">
      <c r="L42" s="144"/>
      <c r="M42" s="144"/>
      <c r="N42" s="144"/>
      <c r="O42" s="144"/>
      <c r="P42" s="144"/>
      <c r="Q42" s="144"/>
      <c r="R42" s="144"/>
      <c r="S42" s="144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U42" s="64"/>
    </row>
    <row r="43" spans="12:49" ht="15" customHeight="1">
      <c r="L43" s="144"/>
      <c r="M43" s="144"/>
      <c r="N43" s="144"/>
      <c r="O43" s="144"/>
      <c r="P43" s="144"/>
      <c r="Q43" s="144"/>
      <c r="R43" s="144"/>
      <c r="S43" s="144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U43" s="64"/>
    </row>
    <row r="44" spans="12:49" ht="15" customHeight="1">
      <c r="L44" s="144"/>
      <c r="M44" s="144"/>
      <c r="N44" s="144"/>
      <c r="O44" s="144"/>
      <c r="P44" s="144"/>
      <c r="Q44" s="144"/>
      <c r="R44" s="144"/>
      <c r="S44" s="144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U44" s="64"/>
    </row>
    <row r="45" spans="12:49" ht="15" customHeight="1">
      <c r="L45" s="144"/>
      <c r="M45" s="144"/>
      <c r="N45" s="144"/>
      <c r="O45" s="144"/>
      <c r="P45" s="144"/>
      <c r="Q45" s="144"/>
      <c r="R45" s="144"/>
      <c r="S45" s="144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U45" s="64"/>
    </row>
    <row r="46" spans="12:49" ht="15" customHeight="1">
      <c r="L46" s="144"/>
      <c r="M46" s="144"/>
      <c r="N46" s="144"/>
      <c r="O46" s="144"/>
      <c r="P46" s="144"/>
      <c r="Q46" s="144"/>
      <c r="R46" s="144"/>
      <c r="S46" s="144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U46" s="64"/>
    </row>
    <row r="47" spans="12:49" ht="15" customHeight="1">
      <c r="L47" s="42"/>
      <c r="M47" s="144"/>
      <c r="N47" s="144"/>
      <c r="O47" s="144"/>
      <c r="P47" s="144"/>
      <c r="Q47" s="144"/>
      <c r="R47" s="144"/>
      <c r="S47" s="144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Q47" s="5"/>
      <c r="AR47" s="5"/>
      <c r="AS47" s="5"/>
      <c r="AT47" s="63"/>
      <c r="AU47" s="64"/>
      <c r="AW47" s="65"/>
    </row>
    <row r="48" spans="12:49">
      <c r="L48" s="144"/>
      <c r="M48" s="144"/>
      <c r="N48" s="144"/>
      <c r="O48" s="144"/>
      <c r="P48" s="144"/>
      <c r="Q48" s="144"/>
      <c r="R48" s="144"/>
      <c r="S48" s="144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T48" s="63"/>
      <c r="AU48" s="64"/>
    </row>
    <row r="49" spans="1:61" ht="15" customHeight="1">
      <c r="L49" s="144"/>
      <c r="M49" s="144"/>
      <c r="N49" s="144"/>
      <c r="O49" s="144"/>
      <c r="P49" s="144"/>
      <c r="Q49" s="144"/>
      <c r="R49" s="144"/>
      <c r="S49" s="144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</row>
    <row r="50" spans="1:61" ht="15" customHeight="1">
      <c r="L50" s="147"/>
      <c r="M50" s="144"/>
      <c r="N50" s="144"/>
      <c r="O50" s="144"/>
      <c r="P50" s="144"/>
      <c r="Q50" s="144"/>
      <c r="R50" s="144"/>
      <c r="S50" s="144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U50" s="64"/>
    </row>
    <row r="51" spans="1:61" ht="15" customHeight="1">
      <c r="L51" s="144"/>
      <c r="M51" s="144"/>
      <c r="N51" s="144"/>
      <c r="O51" s="144"/>
      <c r="P51" s="144"/>
      <c r="Q51" s="144"/>
      <c r="R51" s="144"/>
      <c r="S51" s="144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U51" s="64"/>
    </row>
    <row r="52" spans="1:61" ht="15" customHeight="1">
      <c r="L52" s="144"/>
      <c r="M52" s="144"/>
      <c r="N52" s="144"/>
      <c r="O52" s="144"/>
      <c r="P52" s="144"/>
      <c r="Q52" s="144"/>
      <c r="R52" s="144"/>
      <c r="S52" s="144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U52" s="64"/>
    </row>
    <row r="53" spans="1:61" ht="15" customHeight="1">
      <c r="L53" s="144"/>
      <c r="M53" s="144"/>
      <c r="N53" s="144"/>
      <c r="O53" s="144"/>
      <c r="P53" s="144"/>
      <c r="Q53" s="144"/>
      <c r="R53" s="144"/>
      <c r="S53" s="144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U53" s="64"/>
    </row>
    <row r="54" spans="1:61" ht="15" customHeight="1">
      <c r="L54" s="144"/>
      <c r="M54" s="144"/>
      <c r="N54" s="144"/>
      <c r="O54" s="144"/>
      <c r="P54" s="144"/>
      <c r="Q54" s="144"/>
      <c r="R54" s="144"/>
      <c r="S54" s="144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U54" s="64"/>
    </row>
    <row r="55" spans="1:61" ht="15" customHeight="1">
      <c r="L55" s="144"/>
      <c r="M55" s="144"/>
      <c r="N55" s="144"/>
      <c r="O55" s="144"/>
      <c r="P55" s="144"/>
      <c r="Q55" s="144"/>
      <c r="R55" s="144"/>
      <c r="S55" s="144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U55" s="64"/>
    </row>
    <row r="56" spans="1:61" ht="15" customHeight="1">
      <c r="L56" s="144"/>
      <c r="M56" s="144"/>
      <c r="N56" s="144"/>
      <c r="O56" s="144"/>
      <c r="P56" s="144"/>
      <c r="Q56" s="144"/>
      <c r="R56" s="144"/>
      <c r="S56" s="144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U56" s="64"/>
    </row>
    <row r="57" spans="1:61" ht="15" customHeight="1">
      <c r="L57" s="144"/>
      <c r="M57" s="144"/>
      <c r="N57" s="144"/>
      <c r="O57" s="144"/>
      <c r="P57" s="144"/>
      <c r="Q57" s="144"/>
      <c r="R57" s="144"/>
      <c r="S57" s="144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U57" s="64"/>
    </row>
    <row r="58" spans="1:61" ht="15" customHeight="1">
      <c r="L58" s="144"/>
      <c r="M58" s="144"/>
      <c r="N58" s="144"/>
      <c r="O58" s="144"/>
      <c r="P58" s="144"/>
      <c r="Q58" s="144"/>
      <c r="R58" s="144"/>
      <c r="S58" s="144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U58" s="64"/>
    </row>
    <row r="59" spans="1:61" ht="15" customHeight="1">
      <c r="L59" s="144"/>
      <c r="M59" s="144"/>
      <c r="N59" s="144"/>
      <c r="O59" s="144"/>
      <c r="P59" s="144"/>
      <c r="Q59" s="144"/>
      <c r="R59" s="144"/>
      <c r="S59" s="144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U59" s="64"/>
    </row>
    <row r="60" spans="1:61" ht="15" customHeight="1">
      <c r="L60" s="144"/>
      <c r="M60" s="144"/>
      <c r="N60" s="144"/>
      <c r="O60" s="144"/>
      <c r="P60" s="144"/>
      <c r="Q60" s="144"/>
      <c r="R60" s="144"/>
      <c r="S60" s="144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U60" s="64"/>
    </row>
    <row r="61" spans="1:61" ht="15" customHeight="1">
      <c r="L61" s="144"/>
      <c r="M61" s="144"/>
      <c r="N61" s="144"/>
      <c r="O61" s="144"/>
      <c r="P61" s="144"/>
      <c r="Q61" s="144"/>
      <c r="R61" s="144"/>
      <c r="S61" s="144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U61" s="64"/>
    </row>
    <row r="62" spans="1:61" ht="15" customHeight="1">
      <c r="L62" s="144"/>
      <c r="M62" s="144"/>
      <c r="N62" s="144"/>
      <c r="O62" s="144"/>
      <c r="P62" s="144"/>
      <c r="Q62" s="144"/>
      <c r="R62" s="144"/>
      <c r="S62" s="144"/>
      <c r="T62" s="3"/>
      <c r="U62" s="41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Q62" s="5"/>
      <c r="AR62" s="5"/>
      <c r="AS62" s="5"/>
      <c r="AT62" s="63"/>
      <c r="AU62" s="64"/>
      <c r="AW62" s="65"/>
    </row>
    <row r="63" spans="1:61" ht="15" customHeight="1">
      <c r="L63" s="144"/>
      <c r="M63" s="144"/>
      <c r="N63" s="144"/>
      <c r="O63" s="144"/>
      <c r="P63" s="144"/>
      <c r="Q63" s="144"/>
      <c r="R63" s="144"/>
      <c r="S63" s="144"/>
      <c r="T63" s="3"/>
      <c r="U63" s="41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Q63" s="3"/>
      <c r="AR63" s="3"/>
      <c r="AT63" s="63"/>
      <c r="AU63" s="64"/>
      <c r="BI63" s="3"/>
    </row>
    <row r="64" spans="1:61">
      <c r="A64" s="88"/>
      <c r="L64" s="144"/>
      <c r="M64" s="144"/>
      <c r="N64" s="144"/>
      <c r="O64" s="144"/>
      <c r="P64" s="144"/>
      <c r="Q64" s="144"/>
      <c r="R64" s="144"/>
      <c r="S64" s="144"/>
      <c r="T64" s="3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Q64" s="5"/>
      <c r="AR64" s="5"/>
      <c r="AS64" s="5"/>
      <c r="AT64" s="63"/>
      <c r="AU64" s="64"/>
      <c r="AW64" s="65"/>
    </row>
    <row r="65" spans="2:68">
      <c r="B65" s="72"/>
      <c r="C65" s="88"/>
      <c r="D65" s="72"/>
      <c r="E65" s="72"/>
      <c r="F65" s="88">
        <f>AB19+Q32+F29</f>
        <v>595</v>
      </c>
      <c r="G65" s="88"/>
      <c r="H65" s="72"/>
      <c r="I65" s="72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Q65" s="3"/>
      <c r="AR65" s="3"/>
      <c r="AS65" s="3"/>
      <c r="AT65" s="3"/>
      <c r="AU65" s="64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</row>
    <row r="66" spans="2:68" s="3" customFormat="1">
      <c r="B66" s="35" t="s">
        <v>106</v>
      </c>
      <c r="C66" s="163" t="s">
        <v>150</v>
      </c>
      <c r="D66" s="36"/>
      <c r="E66" s="36"/>
      <c r="F66" s="36"/>
      <c r="G66" s="36"/>
      <c r="H66" s="465" t="s">
        <v>87</v>
      </c>
      <c r="I66" s="466"/>
      <c r="J66" s="459" t="s">
        <v>291</v>
      </c>
      <c r="K66" s="460"/>
      <c r="L66" s="138"/>
      <c r="M66" s="147"/>
      <c r="N66" s="147"/>
      <c r="O66" s="147"/>
      <c r="P66" s="147"/>
      <c r="Q66" s="147"/>
      <c r="R66" s="147"/>
      <c r="S66" s="147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U66" s="64"/>
    </row>
    <row r="67" spans="2:68" s="3" customFormat="1">
      <c r="B67" s="68"/>
      <c r="C67" s="32" t="s">
        <v>148</v>
      </c>
      <c r="D67" s="32" t="s">
        <v>98</v>
      </c>
      <c r="E67" s="32" t="s">
        <v>17</v>
      </c>
      <c r="F67" s="32"/>
      <c r="G67" s="32" t="s">
        <v>97</v>
      </c>
      <c r="H67" s="32" t="s">
        <v>27</v>
      </c>
      <c r="I67" s="69" t="s">
        <v>104</v>
      </c>
      <c r="J67" s="155" t="s">
        <v>295</v>
      </c>
      <c r="K67" s="155" t="s">
        <v>296</v>
      </c>
      <c r="L67" s="141"/>
      <c r="M67" s="148"/>
      <c r="N67" s="148"/>
      <c r="O67" s="148"/>
      <c r="P67" s="148"/>
      <c r="Q67" s="148"/>
      <c r="R67" s="148"/>
      <c r="S67" s="148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Q67" s="5"/>
      <c r="AU67" s="64"/>
    </row>
    <row r="68" spans="2:68" s="3" customFormat="1">
      <c r="B68" s="37" t="str">
        <f>'nb formule'!I89</f>
        <v xml:space="preserve">Algèbre ( 12 dossiers  / 23 = 52,17% ) </v>
      </c>
      <c r="C68" s="163" t="str">
        <f>'nb formule'!J89</f>
        <v>52,17%</v>
      </c>
      <c r="D68" s="38">
        <f>'nb formule'!L89</f>
        <v>1</v>
      </c>
      <c r="E68" s="38">
        <f>'nb formule'!O89</f>
        <v>40.5</v>
      </c>
      <c r="F68" s="163">
        <f>'nb formule'!P89</f>
        <v>250</v>
      </c>
      <c r="G68" s="163">
        <f>'nb formule'!Q89</f>
        <v>-8</v>
      </c>
      <c r="H68" s="163">
        <f>'nb formule'!R89</f>
        <v>160</v>
      </c>
      <c r="I68" s="39">
        <f>'nb formule'!S89</f>
        <v>1.5625</v>
      </c>
      <c r="J68" s="142"/>
      <c r="K68" s="142"/>
      <c r="L68" s="142" t="e">
        <f>#REF!</f>
        <v>#REF!</v>
      </c>
      <c r="M68" s="144"/>
      <c r="N68" s="144"/>
      <c r="O68" s="144"/>
      <c r="P68" s="144"/>
      <c r="Q68" s="144"/>
      <c r="R68" s="144"/>
      <c r="S68" s="144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U68" s="64"/>
    </row>
    <row r="69" spans="2:68" s="3" customFormat="1">
      <c r="B69" s="40" t="str">
        <f>'nb formule'!I90</f>
        <v xml:space="preserve">Analyse ( 5 dossiers / 21 = 23,8% ) </v>
      </c>
      <c r="C69" s="42" t="str">
        <f>'nb formule'!J90</f>
        <v>23,8%</v>
      </c>
      <c r="D69" s="32">
        <f>'nb formule'!L90</f>
        <v>1</v>
      </c>
      <c r="E69" s="32">
        <f>'nb formule'!O90</f>
        <v>49</v>
      </c>
      <c r="F69" s="32">
        <f>'nb formule'!P90</f>
        <v>288</v>
      </c>
      <c r="G69" s="32">
        <f>'nb formule'!Q90</f>
        <v>113</v>
      </c>
      <c r="H69" s="32">
        <f>'nb formule'!R90</f>
        <v>397</v>
      </c>
      <c r="I69" s="43">
        <f>'nb formule'!S90</f>
        <v>0.72544080604534</v>
      </c>
      <c r="J69" s="139">
        <v>14</v>
      </c>
      <c r="K69" s="139">
        <f>V31</f>
        <v>101</v>
      </c>
      <c r="L69" s="139" t="e">
        <f>#REF!</f>
        <v>#REF!</v>
      </c>
      <c r="M69" s="149"/>
      <c r="N69" s="149"/>
      <c r="O69" s="149"/>
      <c r="P69" s="149"/>
      <c r="Q69" s="149"/>
      <c r="R69" s="149"/>
      <c r="S69" s="149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R69" s="5"/>
      <c r="AS69" s="5"/>
      <c r="AU69" s="64"/>
      <c r="AW69" s="65"/>
      <c r="AX69"/>
      <c r="AY69"/>
      <c r="AZ69"/>
      <c r="BA69"/>
      <c r="BB69"/>
      <c r="BC69"/>
      <c r="BD69"/>
      <c r="BE69"/>
      <c r="BF69"/>
      <c r="BG69"/>
      <c r="BH69"/>
      <c r="BI69"/>
    </row>
    <row r="70" spans="2:68" s="3" customFormat="1">
      <c r="B70" s="44" t="str">
        <f>'nb formule'!I91</f>
        <v xml:space="preserve">Géométrie ( 3 dossiers / 11 = 27,27% ) </v>
      </c>
      <c r="C70" s="46" t="str">
        <f>'nb formule'!J91</f>
        <v>27,27%</v>
      </c>
      <c r="D70" s="34">
        <f>'nb formule'!L91</f>
        <v>1</v>
      </c>
      <c r="E70" s="34">
        <f>'nb formule'!O91</f>
        <v>8</v>
      </c>
      <c r="F70" s="34">
        <f>'nb formule'!P91</f>
        <v>220</v>
      </c>
      <c r="G70" s="34">
        <f>'nb formule'!Q91</f>
        <v>11</v>
      </c>
      <c r="H70" s="34">
        <f>'nb formule'!R91</f>
        <v>297</v>
      </c>
      <c r="I70" s="47">
        <f>'nb formule'!S91</f>
        <v>0.7407407407407407</v>
      </c>
      <c r="J70" s="143"/>
      <c r="K70" s="143"/>
      <c r="L70" s="143" t="e">
        <f>#REF!</f>
        <v>#REF!</v>
      </c>
      <c r="M70" s="144"/>
      <c r="N70" s="144"/>
      <c r="O70" s="144"/>
      <c r="P70" s="144"/>
      <c r="Q70" s="144"/>
      <c r="R70" s="144"/>
      <c r="S70" s="144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U70" s="64"/>
    </row>
    <row r="71" spans="2:68" s="3" customFormat="1" ht="6" customHeight="1">
      <c r="B71" s="41"/>
      <c r="C71" s="42"/>
      <c r="D71" s="41"/>
      <c r="E71" s="32"/>
      <c r="F71" s="42"/>
      <c r="G71" s="42"/>
      <c r="H71" s="42"/>
      <c r="I71" s="48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</row>
    <row r="72" spans="2:68" s="3" customFormat="1">
      <c r="B72" s="49" t="s">
        <v>42</v>
      </c>
      <c r="C72" s="162"/>
      <c r="D72" s="26">
        <f t="shared" ref="D72:I72" si="0">Z18</f>
        <v>4</v>
      </c>
      <c r="E72" s="89">
        <f t="shared" si="0"/>
        <v>97.5</v>
      </c>
      <c r="F72" s="162">
        <f t="shared" si="0"/>
        <v>758</v>
      </c>
      <c r="G72" s="162">
        <f t="shared" si="0"/>
        <v>116</v>
      </c>
      <c r="H72" s="162">
        <f t="shared" si="0"/>
        <v>854</v>
      </c>
      <c r="I72" s="50">
        <f t="shared" si="0"/>
        <v>0.88758782201405151</v>
      </c>
      <c r="J72" s="145"/>
      <c r="K72" s="145"/>
      <c r="L72" s="145" t="e">
        <f>L68+L69+L70</f>
        <v>#REF!</v>
      </c>
      <c r="M72" s="144"/>
      <c r="N72" s="144"/>
      <c r="O72" s="144"/>
      <c r="P72" s="144"/>
      <c r="Q72" s="144"/>
      <c r="R72" s="144"/>
      <c r="S72" s="144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</row>
    <row r="73" spans="2:68">
      <c r="B73" s="67">
        <f>BG64</f>
        <v>0</v>
      </c>
      <c r="C73" s="62" t="e">
        <f>#REF!</f>
        <v>#REF!</v>
      </c>
      <c r="D73" s="70" t="e">
        <f>D72/C73</f>
        <v>#REF!</v>
      </c>
      <c r="E73" s="162"/>
      <c r="F73" s="90">
        <f>E72/F72</f>
        <v>0.12862796833773088</v>
      </c>
      <c r="G73" s="91"/>
      <c r="H73" s="90">
        <f>E72/H72</f>
        <v>0.11416861826697892</v>
      </c>
      <c r="I73" s="66"/>
      <c r="J73" s="143"/>
      <c r="K73" s="143"/>
      <c r="L73" s="143"/>
      <c r="M73" s="144"/>
      <c r="N73" s="144"/>
      <c r="O73" s="144"/>
      <c r="P73" s="144"/>
      <c r="Q73" s="144"/>
      <c r="R73" s="144"/>
      <c r="S73" s="144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</row>
    <row r="74" spans="2:68">
      <c r="AQ74" s="3"/>
    </row>
    <row r="75" spans="2:68">
      <c r="B75" t="e">
        <f>'nb formule'!#REF!</f>
        <v>#REF!</v>
      </c>
      <c r="C75" s="472" t="e">
        <f>'nb formule'!#REF!</f>
        <v>#REF!</v>
      </c>
      <c r="D75" s="472"/>
      <c r="E75" s="472"/>
      <c r="G75" s="472" t="e">
        <f>'nb formule'!#REF!</f>
        <v>#REF!</v>
      </c>
      <c r="H75" s="472"/>
      <c r="I75" s="472"/>
    </row>
    <row r="76" spans="2:68">
      <c r="B76">
        <f>'nb formule'!I97</f>
        <v>0</v>
      </c>
      <c r="C76" s="160" t="str">
        <f>'nb formule'!N97</f>
        <v>Min</v>
      </c>
      <c r="D76" s="160" t="str">
        <f>'nb formule'!O97</f>
        <v>Moy</v>
      </c>
      <c r="E76" s="160" t="str">
        <f>'nb formule'!P97</f>
        <v>Max</v>
      </c>
      <c r="G76" s="160" t="str">
        <f>'nb formule'!Q97</f>
        <v>Min</v>
      </c>
      <c r="H76" s="160" t="str">
        <f>'nb formule'!R97</f>
        <v>Moy</v>
      </c>
      <c r="I76" s="160" t="str">
        <f>'nb formule'!S97</f>
        <v>Max</v>
      </c>
    </row>
    <row r="77" spans="2:68">
      <c r="B77" t="str">
        <f>'nb formule'!I99</f>
        <v>Algèbre</v>
      </c>
      <c r="C77" s="160">
        <f>'nb formule'!N99</f>
        <v>1</v>
      </c>
      <c r="D77" s="160">
        <f>'nb formule'!O99</f>
        <v>14.055555555555555</v>
      </c>
      <c r="E77" s="160">
        <f>'nb formule'!P99</f>
        <v>44</v>
      </c>
      <c r="G77" s="160">
        <f>'nb formule'!Q99</f>
        <v>1</v>
      </c>
      <c r="H77" s="160">
        <f>'nb formule'!R99</f>
        <v>10.1875</v>
      </c>
      <c r="I77" s="160">
        <f>'nb formule'!S99</f>
        <v>40</v>
      </c>
    </row>
    <row r="78" spans="2:68">
      <c r="B78" t="str">
        <f>'nb formule'!I100</f>
        <v>Analyse</v>
      </c>
      <c r="C78" s="160">
        <f>'nb formule'!N100</f>
        <v>1</v>
      </c>
      <c r="D78" s="160">
        <f>'nb formule'!O100</f>
        <v>24.428571428571427</v>
      </c>
      <c r="E78" s="160">
        <f>'nb formule'!P100</f>
        <v>104</v>
      </c>
      <c r="G78" s="160">
        <f>'nb formule'!Q100</f>
        <v>4</v>
      </c>
      <c r="H78" s="160">
        <f>'nb formule'!R100</f>
        <v>25.055555555555557</v>
      </c>
      <c r="I78" s="160">
        <f>'nb formule'!S100</f>
        <v>53</v>
      </c>
    </row>
    <row r="79" spans="2:68">
      <c r="B79" t="str">
        <f>'nb formule'!I101</f>
        <v>Géométrie</v>
      </c>
      <c r="C79" s="160">
        <f>'nb formule'!N101</f>
        <v>1</v>
      </c>
      <c r="D79" s="160">
        <f>'nb formule'!O101</f>
        <v>24.444444444444443</v>
      </c>
      <c r="E79" s="160">
        <f>'nb formule'!P101</f>
        <v>106</v>
      </c>
      <c r="G79" s="160">
        <f>'nb formule'!Q101</f>
        <v>7</v>
      </c>
      <c r="H79" s="160">
        <f>'nb formule'!R101</f>
        <v>29.7</v>
      </c>
      <c r="I79" s="160">
        <f>'nb formule'!S101</f>
        <v>57</v>
      </c>
    </row>
    <row r="84" spans="2:36">
      <c r="B84" t="s">
        <v>290</v>
      </c>
      <c r="H84">
        <f>742+35</f>
        <v>777</v>
      </c>
      <c r="I84">
        <f>789+35</f>
        <v>824</v>
      </c>
    </row>
    <row r="85" spans="2:36">
      <c r="B85" t="s">
        <v>292</v>
      </c>
      <c r="G85" s="160">
        <v>-35</v>
      </c>
      <c r="H85">
        <f>H84-35</f>
        <v>742</v>
      </c>
      <c r="I85">
        <f>I84-35</f>
        <v>789</v>
      </c>
    </row>
    <row r="86" spans="2:36">
      <c r="H86">
        <f>I85-H85</f>
        <v>47</v>
      </c>
    </row>
    <row r="88" spans="2:36">
      <c r="E88">
        <f>E72</f>
        <v>97.5</v>
      </c>
      <c r="F88" s="160">
        <v>8</v>
      </c>
      <c r="G88" s="160">
        <f>E88*F88</f>
        <v>780</v>
      </c>
    </row>
    <row r="89" spans="2:36">
      <c r="E89">
        <f>F72</f>
        <v>758</v>
      </c>
      <c r="G89" s="160">
        <f>E89</f>
        <v>758</v>
      </c>
    </row>
    <row r="90" spans="2:36">
      <c r="G90" s="160">
        <f>G88+G89</f>
        <v>1538</v>
      </c>
      <c r="Y90" s="160"/>
      <c r="AB90" s="160"/>
      <c r="AC90" s="160"/>
      <c r="AD90" s="160"/>
      <c r="AE90" s="32"/>
      <c r="AF90" s="134"/>
      <c r="AG90" s="134"/>
      <c r="AH90" s="134"/>
      <c r="AI90" s="134"/>
      <c r="AJ90" s="134"/>
    </row>
    <row r="91" spans="2:36">
      <c r="F91" s="160">
        <f>F72*8</f>
        <v>6064</v>
      </c>
      <c r="Y91" s="160"/>
      <c r="AB91" s="160"/>
      <c r="AC91" s="160"/>
      <c r="AF91" s="134"/>
      <c r="AG91" s="134"/>
      <c r="AH91" s="134"/>
      <c r="AI91" s="134"/>
      <c r="AJ91" s="134"/>
    </row>
    <row r="92" spans="2:36">
      <c r="Y92" s="160"/>
      <c r="AB92" s="160"/>
      <c r="AC92" s="160"/>
      <c r="AF92" s="134"/>
      <c r="AG92" s="134"/>
      <c r="AH92" s="134"/>
      <c r="AI92" s="134"/>
      <c r="AJ92" s="134"/>
    </row>
    <row r="93" spans="2:36">
      <c r="Y93" s="160"/>
      <c r="AB93" s="160"/>
      <c r="AC93" s="160"/>
      <c r="AF93" s="134"/>
      <c r="AG93" s="134"/>
      <c r="AH93" s="134"/>
      <c r="AI93" s="134"/>
      <c r="AJ93" s="134"/>
    </row>
    <row r="94" spans="2:36">
      <c r="Y94" s="160"/>
      <c r="AB94" s="160"/>
      <c r="AC94" s="160"/>
      <c r="AF94" s="134"/>
      <c r="AG94" s="134"/>
      <c r="AH94" s="134"/>
      <c r="AI94" s="134"/>
      <c r="AJ94" s="134"/>
    </row>
    <row r="95" spans="2:36">
      <c r="X95" s="157"/>
      <c r="Y95" s="160"/>
      <c r="AB95" s="160"/>
      <c r="AC95" s="160"/>
      <c r="AF95" s="134"/>
      <c r="AG95" s="134"/>
      <c r="AH95" s="134"/>
      <c r="AI95" s="134"/>
      <c r="AJ95" s="134"/>
    </row>
    <row r="96" spans="2:36">
      <c r="X96" s="157"/>
      <c r="Y96" s="160"/>
      <c r="AB96" s="160"/>
      <c r="AC96" s="160"/>
      <c r="AF96" s="134"/>
      <c r="AG96" s="134"/>
      <c r="AH96" s="134"/>
      <c r="AI96" s="134"/>
      <c r="AJ96" s="134"/>
    </row>
    <row r="97" spans="24:36">
      <c r="X97" s="157"/>
      <c r="Y97" s="160"/>
      <c r="AB97" s="160"/>
      <c r="AC97" s="160"/>
      <c r="AF97" s="134"/>
      <c r="AG97" s="134"/>
      <c r="AH97" s="134"/>
      <c r="AI97" s="134"/>
      <c r="AJ97" s="134"/>
    </row>
    <row r="98" spans="24:36">
      <c r="X98" s="157"/>
      <c r="Y98" s="160"/>
      <c r="AB98" s="160"/>
      <c r="AC98" s="160"/>
      <c r="AF98" s="134"/>
      <c r="AG98" s="134"/>
      <c r="AH98" s="134"/>
      <c r="AI98" s="134"/>
      <c r="AJ98" s="134"/>
    </row>
    <row r="99" spans="24:36">
      <c r="Y99" s="160"/>
      <c r="AB99" s="160"/>
      <c r="AC99" s="160"/>
      <c r="AF99" s="134"/>
      <c r="AG99" s="134"/>
      <c r="AH99" s="134"/>
      <c r="AI99" s="134"/>
      <c r="AJ99" s="134"/>
    </row>
    <row r="100" spans="24:36">
      <c r="Y100" s="160"/>
      <c r="AB100" s="160"/>
      <c r="AC100" s="160"/>
      <c r="AF100" s="134"/>
      <c r="AG100" s="134"/>
      <c r="AH100" s="134"/>
      <c r="AI100" s="134"/>
      <c r="AJ100" s="134"/>
    </row>
  </sheetData>
  <mergeCells count="12">
    <mergeCell ref="U2:V2"/>
    <mergeCell ref="AD2:AE2"/>
    <mergeCell ref="AF2:AG2"/>
    <mergeCell ref="H66:I66"/>
    <mergeCell ref="J66:K66"/>
    <mergeCell ref="AD21:AE21"/>
    <mergeCell ref="AF21:AG21"/>
    <mergeCell ref="C75:E75"/>
    <mergeCell ref="G75:I75"/>
    <mergeCell ref="H2:I2"/>
    <mergeCell ref="J2:K2"/>
    <mergeCell ref="S2:T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4"/>
  <sheetViews>
    <sheetView showGridLines="0" workbookViewId="0">
      <selection activeCell="Q36" sqref="Q36"/>
    </sheetView>
  </sheetViews>
  <sheetFormatPr baseColWidth="10" defaultRowHeight="15"/>
  <cols>
    <col min="2" max="2" width="26.5703125" bestFit="1" customWidth="1"/>
    <col min="3" max="3" width="13" style="315" bestFit="1" customWidth="1"/>
    <col min="4" max="5" width="10.7109375" style="315" customWidth="1"/>
    <col min="6" max="6" width="2.7109375" style="315" customWidth="1"/>
    <col min="7" max="7" width="14" style="315" customWidth="1"/>
    <col min="8" max="9" width="14.85546875" style="315" bestFit="1" customWidth="1"/>
    <col min="10" max="11" width="10.7109375" style="315" customWidth="1"/>
    <col min="12" max="12" width="11.42578125" style="430"/>
  </cols>
  <sheetData>
    <row r="2" spans="2:13">
      <c r="B2" s="473"/>
      <c r="C2" s="327" t="s">
        <v>87</v>
      </c>
      <c r="D2" s="322" t="s">
        <v>451</v>
      </c>
      <c r="E2" s="177" t="s">
        <v>42</v>
      </c>
      <c r="F2" s="339"/>
      <c r="G2" s="183" t="s">
        <v>443</v>
      </c>
      <c r="H2" s="223" t="str">
        <f>I2</f>
        <v>nb pages</v>
      </c>
      <c r="I2" s="336" t="s">
        <v>422</v>
      </c>
      <c r="J2" s="318" t="s">
        <v>440</v>
      </c>
      <c r="K2" s="183" t="s">
        <v>457</v>
      </c>
      <c r="L2" s="441" t="s">
        <v>521</v>
      </c>
      <c r="M2" s="229"/>
    </row>
    <row r="3" spans="2:13">
      <c r="B3" s="474"/>
      <c r="C3" s="328"/>
      <c r="D3" s="323"/>
      <c r="E3" s="93"/>
      <c r="F3" s="339"/>
      <c r="G3" s="181" t="s">
        <v>456</v>
      </c>
      <c r="H3" s="92" t="s">
        <v>439</v>
      </c>
      <c r="I3" s="337" t="s">
        <v>438</v>
      </c>
      <c r="J3" s="319" t="s">
        <v>448</v>
      </c>
      <c r="K3" s="181" t="s">
        <v>459</v>
      </c>
      <c r="L3" s="442" t="s">
        <v>522</v>
      </c>
      <c r="M3" s="304"/>
    </row>
    <row r="4" spans="2:13">
      <c r="B4" s="475"/>
      <c r="C4" s="329" t="s">
        <v>453</v>
      </c>
      <c r="D4" s="324" t="s">
        <v>452</v>
      </c>
      <c r="E4" s="178"/>
      <c r="F4" s="339"/>
      <c r="G4" s="182" t="s">
        <v>450</v>
      </c>
      <c r="H4" s="92"/>
      <c r="I4" s="338" t="s">
        <v>458</v>
      </c>
      <c r="J4" s="320" t="s">
        <v>449</v>
      </c>
      <c r="K4" s="182" t="s">
        <v>460</v>
      </c>
      <c r="L4" s="439"/>
      <c r="M4" s="304"/>
    </row>
    <row r="5" spans="2:13">
      <c r="B5" s="321" t="s">
        <v>441</v>
      </c>
      <c r="C5" s="330"/>
      <c r="D5" s="325"/>
      <c r="E5" s="313">
        <f>SUM(E8:E38)</f>
        <v>1508</v>
      </c>
      <c r="F5" s="339"/>
      <c r="G5" s="257"/>
      <c r="H5" s="312"/>
      <c r="I5" s="336" t="s">
        <v>462</v>
      </c>
      <c r="J5" s="317"/>
      <c r="K5" s="257" t="s">
        <v>461</v>
      </c>
      <c r="L5" s="439"/>
      <c r="M5" s="304"/>
    </row>
    <row r="6" spans="2:13">
      <c r="B6" s="304"/>
      <c r="C6" s="328"/>
      <c r="D6" s="323"/>
      <c r="E6" s="93"/>
      <c r="F6" s="339"/>
      <c r="G6" s="181"/>
      <c r="H6" s="92"/>
      <c r="I6" s="336" t="s">
        <v>454</v>
      </c>
      <c r="J6" s="316"/>
      <c r="K6" s="181"/>
      <c r="L6" s="439"/>
      <c r="M6" s="304"/>
    </row>
    <row r="7" spans="2:13">
      <c r="B7" s="304"/>
      <c r="C7" s="328"/>
      <c r="D7" s="323"/>
      <c r="E7" s="93"/>
      <c r="F7" s="339"/>
      <c r="G7" s="181"/>
      <c r="H7" s="92"/>
      <c r="I7" s="343" t="s">
        <v>455</v>
      </c>
      <c r="J7" s="316"/>
      <c r="K7" s="181"/>
      <c r="L7" s="439"/>
      <c r="M7" s="304"/>
    </row>
    <row r="8" spans="2:13">
      <c r="B8" s="321" t="s">
        <v>422</v>
      </c>
      <c r="C8" s="330">
        <f>SUM(C12:C44)</f>
        <v>121</v>
      </c>
      <c r="D8" s="325">
        <f>SUM(D12:D44)</f>
        <v>220</v>
      </c>
      <c r="E8" s="313">
        <f>H8</f>
        <v>754</v>
      </c>
      <c r="F8" s="339"/>
      <c r="G8" s="257">
        <f>SUM(G12:G25)</f>
        <v>143</v>
      </c>
      <c r="H8" s="312">
        <f>H42</f>
        <v>754</v>
      </c>
      <c r="I8" s="343">
        <f>+I42</f>
        <v>1114</v>
      </c>
      <c r="J8" s="317">
        <f>SUM(J12:J42)</f>
        <v>42</v>
      </c>
      <c r="K8" s="257">
        <f>SUM(K12:K46)-J8</f>
        <v>1497</v>
      </c>
      <c r="L8" s="443">
        <f>SUM(L12:L42)-K8</f>
        <v>32532</v>
      </c>
      <c r="M8" s="437">
        <f>SUM(M12:M43)</f>
        <v>34029</v>
      </c>
    </row>
    <row r="9" spans="2:13">
      <c r="B9" s="340"/>
      <c r="C9" s="326"/>
      <c r="D9" s="326"/>
      <c r="E9" s="341"/>
      <c r="F9" s="339"/>
      <c r="G9" s="326"/>
      <c r="H9" s="342"/>
      <c r="I9" s="326"/>
      <c r="J9" s="342"/>
      <c r="K9" s="326"/>
      <c r="L9" s="217">
        <f>L8/1000</f>
        <v>32.531999999999996</v>
      </c>
      <c r="M9" s="304"/>
    </row>
    <row r="10" spans="2:13">
      <c r="B10" s="332" t="s">
        <v>0</v>
      </c>
      <c r="C10" s="335"/>
      <c r="D10" s="335"/>
      <c r="E10" s="334">
        <f>H10</f>
        <v>438</v>
      </c>
      <c r="F10" s="339"/>
      <c r="G10" s="335"/>
      <c r="H10" s="335">
        <f>SUM(H12:H25)</f>
        <v>438</v>
      </c>
      <c r="I10" s="335">
        <f>SUM(I12:I25)</f>
        <v>727</v>
      </c>
      <c r="J10" s="333"/>
      <c r="K10" s="335"/>
      <c r="L10" s="335"/>
      <c r="M10" s="335"/>
    </row>
    <row r="11" spans="2:13">
      <c r="B11" s="304"/>
      <c r="C11" s="328"/>
      <c r="D11" s="323"/>
      <c r="E11" s="93"/>
      <c r="F11" s="339"/>
      <c r="G11" s="181"/>
      <c r="H11" s="92"/>
      <c r="I11" s="337"/>
      <c r="J11" s="319"/>
      <c r="K11" s="181"/>
      <c r="L11" s="439"/>
      <c r="M11" s="304"/>
    </row>
    <row r="12" spans="2:13">
      <c r="B12" s="304" t="s">
        <v>423</v>
      </c>
      <c r="C12" s="328"/>
      <c r="D12" s="323"/>
      <c r="E12" s="93"/>
      <c r="F12" s="339"/>
      <c r="G12" s="181"/>
      <c r="H12" s="92">
        <f t="shared" ref="H12:H17" si="0">I12</f>
        <v>25</v>
      </c>
      <c r="I12" s="337">
        <v>25</v>
      </c>
      <c r="J12" s="319"/>
      <c r="K12" s="181">
        <f t="shared" ref="K12:K25" si="1">IF(I12&gt;H12,I12,H12)</f>
        <v>25</v>
      </c>
      <c r="L12" s="439">
        <v>1730</v>
      </c>
      <c r="M12" s="304"/>
    </row>
    <row r="13" spans="2:13">
      <c r="B13" s="304" t="s">
        <v>424</v>
      </c>
      <c r="C13" s="328"/>
      <c r="D13" s="323"/>
      <c r="E13" s="93"/>
      <c r="F13" s="339"/>
      <c r="G13" s="181"/>
      <c r="H13" s="92">
        <f t="shared" si="0"/>
        <v>146</v>
      </c>
      <c r="I13" s="337">
        <v>146</v>
      </c>
      <c r="J13" s="319"/>
      <c r="K13" s="181">
        <f t="shared" si="1"/>
        <v>146</v>
      </c>
      <c r="L13" s="439">
        <v>2209</v>
      </c>
      <c r="M13" s="304"/>
    </row>
    <row r="14" spans="2:13">
      <c r="B14" s="304" t="s">
        <v>425</v>
      </c>
      <c r="C14" s="328"/>
      <c r="D14" s="323"/>
      <c r="E14" s="93"/>
      <c r="F14" s="339"/>
      <c r="G14" s="181"/>
      <c r="H14" s="92">
        <f t="shared" si="0"/>
        <v>22</v>
      </c>
      <c r="I14" s="337">
        <v>22</v>
      </c>
      <c r="J14" s="319"/>
      <c r="K14" s="181">
        <f t="shared" si="1"/>
        <v>22</v>
      </c>
      <c r="L14" s="439">
        <v>292</v>
      </c>
      <c r="M14" s="304"/>
    </row>
    <row r="15" spans="2:13">
      <c r="B15" s="304" t="s">
        <v>426</v>
      </c>
      <c r="C15" s="328"/>
      <c r="D15" s="323"/>
      <c r="E15" s="93"/>
      <c r="F15" s="339"/>
      <c r="G15" s="181"/>
      <c r="H15" s="92">
        <f t="shared" si="0"/>
        <v>102</v>
      </c>
      <c r="I15" s="337">
        <v>102</v>
      </c>
      <c r="J15" s="319">
        <v>8</v>
      </c>
      <c r="K15" s="181">
        <f t="shared" si="1"/>
        <v>102</v>
      </c>
      <c r="L15" s="439">
        <v>1240</v>
      </c>
      <c r="M15" s="304"/>
    </row>
    <row r="16" spans="2:13">
      <c r="B16" s="304" t="s">
        <v>2</v>
      </c>
      <c r="C16" s="328"/>
      <c r="D16" s="323"/>
      <c r="E16" s="93"/>
      <c r="F16" s="339"/>
      <c r="G16" s="181">
        <v>51</v>
      </c>
      <c r="H16" s="92">
        <f t="shared" si="0"/>
        <v>51</v>
      </c>
      <c r="I16" s="337">
        <v>51</v>
      </c>
      <c r="J16" s="319">
        <v>5</v>
      </c>
      <c r="K16" s="181">
        <f t="shared" si="1"/>
        <v>51</v>
      </c>
      <c r="L16" s="439">
        <v>2806</v>
      </c>
      <c r="M16" s="304"/>
    </row>
    <row r="17" spans="2:13">
      <c r="B17" s="304" t="s">
        <v>433</v>
      </c>
      <c r="C17" s="328"/>
      <c r="D17" s="323"/>
      <c r="E17" s="93"/>
      <c r="F17" s="339"/>
      <c r="G17" s="181">
        <v>66</v>
      </c>
      <c r="H17" s="92">
        <f t="shared" si="0"/>
        <v>66</v>
      </c>
      <c r="I17" s="337">
        <v>66</v>
      </c>
      <c r="J17" s="319"/>
      <c r="K17" s="181">
        <f t="shared" si="1"/>
        <v>66</v>
      </c>
      <c r="L17" s="439">
        <v>2806</v>
      </c>
      <c r="M17" s="304"/>
    </row>
    <row r="18" spans="2:13">
      <c r="B18" s="304" t="s">
        <v>421</v>
      </c>
      <c r="C18" s="328"/>
      <c r="D18" s="323"/>
      <c r="E18" s="93"/>
      <c r="F18" s="339"/>
      <c r="G18" s="181"/>
      <c r="H18" s="92"/>
      <c r="I18" s="337">
        <v>105</v>
      </c>
      <c r="J18" s="319">
        <v>9</v>
      </c>
      <c r="K18" s="181">
        <f t="shared" si="1"/>
        <v>105</v>
      </c>
      <c r="L18" s="439">
        <v>1585</v>
      </c>
      <c r="M18" s="304"/>
    </row>
    <row r="19" spans="2:13">
      <c r="B19" s="304" t="s">
        <v>427</v>
      </c>
      <c r="C19" s="328"/>
      <c r="D19" s="323"/>
      <c r="E19" s="93"/>
      <c r="F19" s="339"/>
      <c r="G19" s="181"/>
      <c r="H19" s="92"/>
      <c r="I19" s="337">
        <v>30</v>
      </c>
      <c r="J19" s="319"/>
      <c r="K19" s="181">
        <f t="shared" si="1"/>
        <v>30</v>
      </c>
      <c r="L19" s="439">
        <v>463</v>
      </c>
      <c r="M19" s="304"/>
    </row>
    <row r="20" spans="2:13">
      <c r="B20" s="304" t="s">
        <v>428</v>
      </c>
      <c r="C20" s="328"/>
      <c r="D20" s="323"/>
      <c r="E20" s="93"/>
      <c r="F20" s="339"/>
      <c r="G20" s="181"/>
      <c r="H20" s="92"/>
      <c r="I20" s="337">
        <v>98</v>
      </c>
      <c r="J20" s="319">
        <v>7</v>
      </c>
      <c r="K20" s="181">
        <f t="shared" si="1"/>
        <v>98</v>
      </c>
      <c r="L20" s="439">
        <v>1415</v>
      </c>
      <c r="M20" s="304"/>
    </row>
    <row r="21" spans="2:13">
      <c r="B21" s="304" t="s">
        <v>434</v>
      </c>
      <c r="C21" s="328"/>
      <c r="D21" s="323"/>
      <c r="E21" s="93"/>
      <c r="F21" s="339"/>
      <c r="G21" s="181">
        <v>18</v>
      </c>
      <c r="H21" s="92">
        <v>18</v>
      </c>
      <c r="I21" s="337"/>
      <c r="J21" s="319"/>
      <c r="K21" s="181">
        <f t="shared" si="1"/>
        <v>18</v>
      </c>
      <c r="L21" s="439">
        <v>67</v>
      </c>
      <c r="M21" s="304"/>
    </row>
    <row r="22" spans="2:13">
      <c r="B22" s="304" t="s">
        <v>429</v>
      </c>
      <c r="C22" s="328"/>
      <c r="D22" s="323"/>
      <c r="E22" s="93"/>
      <c r="F22" s="339"/>
      <c r="G22" s="181"/>
      <c r="H22" s="92"/>
      <c r="I22" s="337">
        <v>32</v>
      </c>
      <c r="J22" s="319"/>
      <c r="K22" s="181">
        <f t="shared" si="1"/>
        <v>32</v>
      </c>
      <c r="L22" s="439">
        <v>287</v>
      </c>
      <c r="M22" s="304"/>
    </row>
    <row r="23" spans="2:13">
      <c r="B23" s="304" t="s">
        <v>354</v>
      </c>
      <c r="C23" s="328"/>
      <c r="D23" s="323"/>
      <c r="E23" s="93"/>
      <c r="F23" s="339"/>
      <c r="G23" s="181"/>
      <c r="H23" s="92"/>
      <c r="I23" s="337">
        <v>20</v>
      </c>
      <c r="J23" s="319"/>
      <c r="K23" s="181">
        <f t="shared" si="1"/>
        <v>20</v>
      </c>
      <c r="L23" s="439">
        <v>252</v>
      </c>
      <c r="M23" s="304"/>
    </row>
    <row r="24" spans="2:13">
      <c r="B24" s="304" t="s">
        <v>105</v>
      </c>
      <c r="C24" s="328"/>
      <c r="D24" s="323"/>
      <c r="E24" s="93"/>
      <c r="F24" s="339"/>
      <c r="G24" s="181">
        <v>8</v>
      </c>
      <c r="H24" s="92">
        <v>8</v>
      </c>
      <c r="I24" s="337"/>
      <c r="J24" s="319"/>
      <c r="K24" s="181">
        <f t="shared" si="1"/>
        <v>8</v>
      </c>
      <c r="L24" s="439">
        <v>55</v>
      </c>
      <c r="M24" s="304"/>
    </row>
    <row r="25" spans="2:13">
      <c r="B25" s="304" t="s">
        <v>430</v>
      </c>
      <c r="C25" s="328"/>
      <c r="D25" s="323"/>
      <c r="E25" s="93"/>
      <c r="F25" s="339"/>
      <c r="G25" s="181"/>
      <c r="H25" s="92"/>
      <c r="I25" s="337">
        <v>30</v>
      </c>
      <c r="J25" s="319"/>
      <c r="K25" s="181">
        <f t="shared" si="1"/>
        <v>30</v>
      </c>
      <c r="L25" s="439"/>
      <c r="M25" s="304"/>
    </row>
    <row r="26" spans="2:13">
      <c r="B26" s="304"/>
      <c r="C26" s="328"/>
      <c r="D26" s="323"/>
      <c r="E26" s="93"/>
      <c r="F26" s="339"/>
      <c r="G26" s="181"/>
      <c r="H26" s="92"/>
      <c r="I26" s="337"/>
      <c r="J26" s="319"/>
      <c r="K26" s="181"/>
      <c r="L26" s="439"/>
      <c r="M26" s="304"/>
    </row>
    <row r="27" spans="2:13">
      <c r="B27" s="304" t="s">
        <v>444</v>
      </c>
      <c r="C27" s="328"/>
      <c r="D27" s="323">
        <v>113</v>
      </c>
      <c r="E27" s="93"/>
      <c r="F27" s="339"/>
      <c r="G27" s="181"/>
      <c r="H27" s="92"/>
      <c r="I27" s="337"/>
      <c r="J27" s="319"/>
      <c r="K27" s="181">
        <f>D27</f>
        <v>113</v>
      </c>
      <c r="L27" s="439">
        <v>2907</v>
      </c>
      <c r="M27" s="304"/>
    </row>
    <row r="28" spans="2:13">
      <c r="B28" s="332" t="s">
        <v>3</v>
      </c>
      <c r="C28" s="335"/>
      <c r="D28" s="335"/>
      <c r="E28" s="334">
        <f>H28</f>
        <v>146</v>
      </c>
      <c r="F28" s="339"/>
      <c r="G28" s="335"/>
      <c r="H28" s="333">
        <f>SUM(H30:H33)</f>
        <v>146</v>
      </c>
      <c r="I28" s="335">
        <f>SUM(I30:I34)</f>
        <v>265</v>
      </c>
      <c r="J28" s="333"/>
      <c r="K28" s="335"/>
      <c r="L28" s="335"/>
      <c r="M28" s="335">
        <f>SUM(L11:L27)</f>
        <v>18114</v>
      </c>
    </row>
    <row r="29" spans="2:13">
      <c r="B29" s="304"/>
      <c r="C29" s="328"/>
      <c r="D29" s="323"/>
      <c r="E29" s="93"/>
      <c r="F29" s="339"/>
      <c r="G29" s="181"/>
      <c r="H29" s="92"/>
      <c r="I29" s="337"/>
      <c r="J29" s="319"/>
      <c r="K29" s="181"/>
      <c r="L29" s="439"/>
      <c r="M29" s="304"/>
    </row>
    <row r="30" spans="2:13">
      <c r="B30" s="304" t="s">
        <v>431</v>
      </c>
      <c r="C30" s="328"/>
      <c r="D30" s="323"/>
      <c r="E30" s="93"/>
      <c r="F30" s="339"/>
      <c r="G30" s="181">
        <v>52</v>
      </c>
      <c r="H30" s="92">
        <v>52</v>
      </c>
      <c r="I30" s="337">
        <v>143</v>
      </c>
      <c r="J30" s="319"/>
      <c r="K30" s="181">
        <f>IF(I30&gt;H30,I30,H30)</f>
        <v>143</v>
      </c>
      <c r="L30" s="439">
        <v>1941</v>
      </c>
      <c r="M30" s="304"/>
    </row>
    <row r="31" spans="2:13">
      <c r="B31" s="304" t="s">
        <v>432</v>
      </c>
      <c r="C31" s="328"/>
      <c r="D31" s="323"/>
      <c r="E31" s="93"/>
      <c r="F31" s="339"/>
      <c r="G31" s="181">
        <v>104</v>
      </c>
      <c r="H31" s="92">
        <v>94</v>
      </c>
      <c r="I31" s="337"/>
      <c r="J31" s="319"/>
      <c r="K31" s="181">
        <f>IF(I31&gt;H31,I31,H31)</f>
        <v>94</v>
      </c>
      <c r="L31" s="439">
        <v>1692</v>
      </c>
      <c r="M31" s="304"/>
    </row>
    <row r="32" spans="2:13">
      <c r="B32" s="304"/>
      <c r="C32" s="328"/>
      <c r="D32" s="323"/>
      <c r="E32" s="93"/>
      <c r="F32" s="339"/>
      <c r="G32" s="181"/>
      <c r="H32" s="92"/>
      <c r="I32" s="337"/>
      <c r="J32" s="319"/>
      <c r="K32" s="181"/>
      <c r="L32" s="439"/>
      <c r="M32" s="304"/>
    </row>
    <row r="33" spans="2:13">
      <c r="B33" s="304" t="s">
        <v>445</v>
      </c>
      <c r="C33" s="328"/>
      <c r="D33" s="323">
        <v>23</v>
      </c>
      <c r="E33" s="93"/>
      <c r="F33" s="339"/>
      <c r="G33" s="181"/>
      <c r="H33" s="92"/>
      <c r="I33" s="337"/>
      <c r="J33" s="319"/>
      <c r="K33" s="181">
        <f>D33</f>
        <v>23</v>
      </c>
      <c r="L33" s="439">
        <v>170</v>
      </c>
      <c r="M33" s="304"/>
    </row>
    <row r="34" spans="2:13">
      <c r="B34" s="332" t="s">
        <v>442</v>
      </c>
      <c r="C34" s="335"/>
      <c r="D34" s="335"/>
      <c r="E34" s="334">
        <f>H34</f>
        <v>170</v>
      </c>
      <c r="F34" s="339"/>
      <c r="G34" s="335"/>
      <c r="H34" s="333">
        <f>SUM(H36:H40)</f>
        <v>170</v>
      </c>
      <c r="I34" s="335">
        <f>SUM(I36:I40)</f>
        <v>122</v>
      </c>
      <c r="J34" s="333"/>
      <c r="K34" s="335"/>
      <c r="L34" s="335" t="s">
        <v>523</v>
      </c>
      <c r="M34" s="335">
        <f>SUM(L29:L34)</f>
        <v>3803</v>
      </c>
    </row>
    <row r="35" spans="2:13">
      <c r="B35" s="187"/>
      <c r="C35" s="328"/>
      <c r="D35" s="323"/>
      <c r="E35" s="93"/>
      <c r="F35" s="339"/>
      <c r="G35" s="181"/>
      <c r="H35" s="223"/>
      <c r="I35" s="336"/>
      <c r="J35" s="319"/>
      <c r="K35" s="183"/>
      <c r="L35" s="439"/>
      <c r="M35" s="304"/>
    </row>
    <row r="36" spans="2:13">
      <c r="B36" s="187" t="s">
        <v>436</v>
      </c>
      <c r="C36" s="328"/>
      <c r="D36" s="323"/>
      <c r="E36" s="93"/>
      <c r="F36" s="339"/>
      <c r="G36" s="181">
        <v>56</v>
      </c>
      <c r="H36" s="92">
        <v>56</v>
      </c>
      <c r="I36" s="337"/>
      <c r="J36" s="319"/>
      <c r="K36" s="181">
        <f>IF(I36&gt;H36,I36,H36)</f>
        <v>56</v>
      </c>
      <c r="L36" s="439">
        <v>3782</v>
      </c>
      <c r="M36" s="304"/>
    </row>
    <row r="37" spans="2:13">
      <c r="B37" s="187" t="s">
        <v>435</v>
      </c>
      <c r="C37" s="328"/>
      <c r="D37" s="323"/>
      <c r="E37" s="93"/>
      <c r="F37" s="339"/>
      <c r="G37" s="181">
        <v>84</v>
      </c>
      <c r="H37" s="92">
        <v>84</v>
      </c>
      <c r="I37" s="337">
        <v>122</v>
      </c>
      <c r="J37" s="319">
        <v>13</v>
      </c>
      <c r="K37" s="181">
        <f>IF(I37&gt;H37,I37,H37)</f>
        <v>122</v>
      </c>
      <c r="L37" s="439">
        <v>2311</v>
      </c>
      <c r="M37" s="304"/>
    </row>
    <row r="38" spans="2:13">
      <c r="B38" s="187" t="s">
        <v>437</v>
      </c>
      <c r="C38" s="328"/>
      <c r="D38" s="323"/>
      <c r="E38" s="93"/>
      <c r="F38" s="339"/>
      <c r="G38" s="181">
        <v>30</v>
      </c>
      <c r="H38" s="92">
        <v>30</v>
      </c>
      <c r="I38" s="337"/>
      <c r="J38" s="319"/>
      <c r="K38" s="181">
        <f>IF(I38&gt;H38,I38,H38)</f>
        <v>30</v>
      </c>
      <c r="L38" s="439">
        <v>811</v>
      </c>
      <c r="M38" s="304"/>
    </row>
    <row r="39" spans="2:13">
      <c r="B39" s="187"/>
      <c r="C39" s="328"/>
      <c r="D39" s="323"/>
      <c r="E39" s="93"/>
      <c r="F39" s="339"/>
      <c r="G39" s="181"/>
      <c r="H39" s="92"/>
      <c r="I39" s="337"/>
      <c r="J39" s="319"/>
      <c r="K39" s="181"/>
      <c r="L39" s="439"/>
      <c r="M39" s="304"/>
    </row>
    <row r="40" spans="2:13">
      <c r="B40" s="187" t="s">
        <v>446</v>
      </c>
      <c r="C40" s="328"/>
      <c r="D40" s="323">
        <v>84</v>
      </c>
      <c r="E40" s="93"/>
      <c r="F40" s="339"/>
      <c r="G40" s="181"/>
      <c r="H40" s="92"/>
      <c r="I40" s="337"/>
      <c r="J40" s="319"/>
      <c r="K40" s="181">
        <f>D40</f>
        <v>84</v>
      </c>
      <c r="L40" s="439">
        <v>5208</v>
      </c>
      <c r="M40" s="304"/>
    </row>
    <row r="41" spans="2:13">
      <c r="B41" s="187"/>
      <c r="C41" s="328"/>
      <c r="D41" s="323"/>
      <c r="E41" s="93"/>
      <c r="F41" s="339"/>
      <c r="G41" s="181"/>
      <c r="H41" s="92"/>
      <c r="I41" s="337"/>
      <c r="J41" s="319"/>
      <c r="K41" s="181"/>
      <c r="L41" s="439">
        <f t="shared" ref="L41" si="2">A41</f>
        <v>0</v>
      </c>
      <c r="M41" s="304"/>
    </row>
    <row r="42" spans="2:13">
      <c r="B42" s="211" t="s">
        <v>447</v>
      </c>
      <c r="C42" s="330">
        <v>121</v>
      </c>
      <c r="D42" s="325"/>
      <c r="E42" s="313"/>
      <c r="F42" s="339"/>
      <c r="G42" s="257"/>
      <c r="H42" s="331">
        <f>+H10+H28+H34</f>
        <v>754</v>
      </c>
      <c r="I42" s="331">
        <f>+I10+I28+I34</f>
        <v>1114</v>
      </c>
      <c r="J42" s="317"/>
      <c r="K42" s="257">
        <f>C42</f>
        <v>121</v>
      </c>
      <c r="L42" s="440"/>
      <c r="M42" s="321">
        <f>SUM(L35:L42)</f>
        <v>12112</v>
      </c>
    </row>
    <row r="43" spans="2:13" s="3" customFormat="1">
      <c r="C43" s="314"/>
      <c r="D43" s="314"/>
      <c r="E43" s="314"/>
      <c r="F43" s="314"/>
      <c r="G43" s="314"/>
      <c r="H43" s="314"/>
      <c r="I43" s="314"/>
      <c r="J43" s="314"/>
      <c r="K43" s="314"/>
      <c r="L43" s="438"/>
    </row>
    <row r="44" spans="2:13" s="3" customFormat="1">
      <c r="C44" s="314"/>
      <c r="D44" s="314"/>
      <c r="E44" s="314"/>
      <c r="F44" s="314"/>
      <c r="G44" s="314"/>
      <c r="H44" s="314"/>
      <c r="I44" s="314"/>
      <c r="J44" s="314"/>
      <c r="K44" s="314"/>
      <c r="L44" s="438"/>
    </row>
  </sheetData>
  <mergeCells count="1">
    <mergeCell ref="B2:B4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6"/>
  <sheetViews>
    <sheetView topLeftCell="A31" workbookViewId="0">
      <selection activeCell="A2" sqref="A2"/>
    </sheetView>
  </sheetViews>
  <sheetFormatPr baseColWidth="10" defaultRowHeight="15"/>
  <cols>
    <col min="1" max="1" width="37.85546875" bestFit="1" customWidth="1"/>
    <col min="2" max="3" width="6.28515625" customWidth="1"/>
    <col min="4" max="4" width="5.7109375" style="1" customWidth="1"/>
    <col min="5" max="5" width="16.7109375" style="1" bestFit="1" customWidth="1"/>
    <col min="6" max="6" width="34.140625" bestFit="1" customWidth="1"/>
  </cols>
  <sheetData>
    <row r="2" spans="1:6" ht="15" customHeight="1">
      <c r="A2" s="29" t="s">
        <v>107</v>
      </c>
      <c r="B2" s="30"/>
      <c r="C2" s="30"/>
      <c r="D2" s="30"/>
      <c r="E2" s="30"/>
      <c r="F2" s="51"/>
    </row>
    <row r="3" spans="1:6" ht="15" customHeight="1">
      <c r="A3" s="25" t="s">
        <v>99</v>
      </c>
      <c r="B3" s="26" t="s">
        <v>98</v>
      </c>
      <c r="C3" s="26" t="s">
        <v>17</v>
      </c>
      <c r="D3" s="27"/>
      <c r="E3" s="27"/>
      <c r="F3" s="28"/>
    </row>
    <row r="4" spans="1:6" ht="15" customHeight="1">
      <c r="A4" s="8" t="s">
        <v>0</v>
      </c>
      <c r="B4" s="9"/>
      <c r="C4" s="8"/>
      <c r="D4" s="8"/>
      <c r="E4" s="8"/>
      <c r="F4" s="8"/>
    </row>
    <row r="5" spans="1:6" ht="15" customHeight="1">
      <c r="A5" s="10" t="s">
        <v>44</v>
      </c>
      <c r="B5" s="9"/>
      <c r="C5" s="8">
        <v>8</v>
      </c>
      <c r="D5" s="8">
        <v>34</v>
      </c>
      <c r="E5" s="8" t="s">
        <v>116</v>
      </c>
      <c r="F5" s="8" t="s">
        <v>111</v>
      </c>
    </row>
    <row r="6" spans="1:6" ht="15" customHeight="1">
      <c r="A6" s="10" t="s">
        <v>8</v>
      </c>
      <c r="B6" s="9"/>
      <c r="C6" s="8"/>
      <c r="D6" s="8">
        <v>7</v>
      </c>
      <c r="E6" s="8" t="str">
        <f>E5</f>
        <v>scolaire</v>
      </c>
      <c r="F6" s="8" t="s">
        <v>112</v>
      </c>
    </row>
    <row r="7" spans="1:6" ht="15" customHeight="1">
      <c r="A7" s="10" t="s">
        <v>11</v>
      </c>
      <c r="B7" s="9"/>
      <c r="C7" s="8">
        <v>0.5</v>
      </c>
      <c r="D7" s="8">
        <v>6</v>
      </c>
      <c r="E7" s="8" t="str">
        <f>E6</f>
        <v>scolaire</v>
      </c>
      <c r="F7" s="8" t="s">
        <v>112</v>
      </c>
    </row>
    <row r="8" spans="1:6" ht="15" customHeight="1">
      <c r="A8" s="10" t="s">
        <v>12</v>
      </c>
      <c r="B8" s="9"/>
      <c r="C8" s="8"/>
      <c r="D8" s="8">
        <v>2</v>
      </c>
      <c r="E8" s="8" t="s">
        <v>110</v>
      </c>
      <c r="F8" s="8"/>
    </row>
    <row r="9" spans="1:6" ht="15" customHeight="1">
      <c r="A9" s="10" t="s">
        <v>13</v>
      </c>
      <c r="B9" s="9"/>
      <c r="C9" s="8"/>
      <c r="D9" s="8">
        <v>10</v>
      </c>
      <c r="E9" s="8" t="s">
        <v>110</v>
      </c>
      <c r="F9" s="8"/>
    </row>
    <row r="10" spans="1:6" ht="15" customHeight="1">
      <c r="A10" s="10" t="s">
        <v>45</v>
      </c>
      <c r="B10" s="9"/>
      <c r="C10" s="8"/>
      <c r="D10" s="8"/>
      <c r="E10" s="8" t="s">
        <v>110</v>
      </c>
      <c r="F10" s="8" t="s">
        <v>112</v>
      </c>
    </row>
    <row r="11" spans="1:6" ht="15" customHeight="1">
      <c r="A11" s="11" t="s">
        <v>1</v>
      </c>
      <c r="B11" s="9"/>
      <c r="C11" s="8"/>
      <c r="D11" s="8">
        <v>12</v>
      </c>
      <c r="E11" s="8" t="s">
        <v>116</v>
      </c>
      <c r="F11" s="8"/>
    </row>
    <row r="12" spans="1:6" ht="15" customHeight="1">
      <c r="A12" s="11" t="s">
        <v>108</v>
      </c>
      <c r="B12" s="9"/>
      <c r="C12" s="8">
        <v>1</v>
      </c>
      <c r="D12" s="8">
        <v>9</v>
      </c>
      <c r="E12" s="8" t="str">
        <f>E11</f>
        <v>scolaire</v>
      </c>
      <c r="F12" s="8" t="s">
        <v>113</v>
      </c>
    </row>
    <row r="13" spans="1:6" ht="15" customHeight="1">
      <c r="A13" s="11" t="s">
        <v>2</v>
      </c>
      <c r="B13" s="9" t="s">
        <v>21</v>
      </c>
      <c r="C13" s="8">
        <v>3</v>
      </c>
      <c r="D13" s="8">
        <v>28</v>
      </c>
      <c r="E13" s="8" t="str">
        <f>E12</f>
        <v>scolaire</v>
      </c>
      <c r="F13" s="8" t="s">
        <v>114</v>
      </c>
    </row>
    <row r="14" spans="1:6" ht="15" customHeight="1">
      <c r="A14" s="11" t="s">
        <v>421</v>
      </c>
      <c r="B14" s="9"/>
      <c r="C14" s="8">
        <v>1</v>
      </c>
      <c r="D14" s="8">
        <v>15</v>
      </c>
      <c r="E14" s="8" t="s">
        <v>110</v>
      </c>
      <c r="F14" s="8" t="s">
        <v>115</v>
      </c>
    </row>
    <row r="15" spans="1:6" ht="15" customHeight="1">
      <c r="A15" s="11" t="s">
        <v>36</v>
      </c>
      <c r="B15" s="9"/>
      <c r="C15" s="8"/>
      <c r="D15" s="8"/>
      <c r="E15" s="8"/>
      <c r="F15" s="8"/>
    </row>
    <row r="16" spans="1:6" ht="15" customHeight="1">
      <c r="A16" s="11" t="s">
        <v>90</v>
      </c>
      <c r="B16" s="9"/>
      <c r="C16" s="8"/>
      <c r="D16" s="8"/>
      <c r="E16" s="8"/>
      <c r="F16" s="8"/>
    </row>
    <row r="17" spans="1:6" ht="15" customHeight="1">
      <c r="A17" s="11" t="s">
        <v>14</v>
      </c>
      <c r="B17" s="9"/>
      <c r="C17" s="8"/>
      <c r="D17" s="8">
        <v>10</v>
      </c>
      <c r="E17" s="8" t="s">
        <v>129</v>
      </c>
      <c r="F17" s="8"/>
    </row>
    <row r="18" spans="1:6" ht="15" customHeight="1">
      <c r="A18" s="11" t="s">
        <v>15</v>
      </c>
      <c r="B18" s="9"/>
      <c r="C18" s="8">
        <v>1</v>
      </c>
      <c r="D18" s="8">
        <v>1</v>
      </c>
      <c r="E18" s="8" t="s">
        <v>110</v>
      </c>
      <c r="F18" s="8" t="s">
        <v>115</v>
      </c>
    </row>
    <row r="19" spans="1:6" ht="15" customHeight="1">
      <c r="A19" s="11" t="s">
        <v>19</v>
      </c>
      <c r="B19" s="9" t="s">
        <v>21</v>
      </c>
      <c r="C19" s="8">
        <v>11</v>
      </c>
      <c r="D19" s="8">
        <v>15</v>
      </c>
      <c r="E19" s="8" t="s">
        <v>110</v>
      </c>
      <c r="F19" s="8" t="s">
        <v>118</v>
      </c>
    </row>
    <row r="20" spans="1:6" ht="15" customHeight="1">
      <c r="A20" s="11" t="s">
        <v>109</v>
      </c>
      <c r="B20" s="9"/>
      <c r="C20" s="8"/>
      <c r="D20" s="8"/>
      <c r="E20" s="8" t="s">
        <v>110</v>
      </c>
      <c r="F20" s="8"/>
    </row>
    <row r="21" spans="1:6" ht="15" customHeight="1">
      <c r="A21" s="11" t="s">
        <v>20</v>
      </c>
      <c r="B21" s="9"/>
      <c r="C21" s="8"/>
      <c r="D21" s="8">
        <v>35</v>
      </c>
      <c r="E21" s="8" t="s">
        <v>121</v>
      </c>
      <c r="F21" s="8" t="s">
        <v>119</v>
      </c>
    </row>
    <row r="22" spans="1:6" ht="15" customHeight="1">
      <c r="A22" s="11" t="s">
        <v>16</v>
      </c>
      <c r="B22" s="9"/>
      <c r="C22" s="8"/>
      <c r="D22" s="8">
        <v>11</v>
      </c>
      <c r="E22" s="8" t="s">
        <v>120</v>
      </c>
      <c r="F22" s="8" t="s">
        <v>118</v>
      </c>
    </row>
    <row r="23" spans="1:6" ht="15" customHeight="1">
      <c r="A23" s="11" t="s">
        <v>105</v>
      </c>
      <c r="B23" s="9"/>
      <c r="C23" s="8"/>
      <c r="D23" s="8">
        <v>4</v>
      </c>
      <c r="E23" s="8" t="s">
        <v>110</v>
      </c>
      <c r="F23" s="8" t="s">
        <v>116</v>
      </c>
    </row>
    <row r="24" spans="1:6" ht="15" customHeight="1">
      <c r="A24" s="11" t="s">
        <v>22</v>
      </c>
      <c r="B24" s="9"/>
      <c r="C24" s="8"/>
      <c r="D24" s="8"/>
      <c r="E24" s="8" t="s">
        <v>110</v>
      </c>
      <c r="F24" s="8"/>
    </row>
    <row r="25" spans="1:6" ht="15" customHeight="1">
      <c r="A25" s="11" t="s">
        <v>23</v>
      </c>
      <c r="B25" s="9"/>
      <c r="C25" s="8"/>
      <c r="D25" s="8"/>
      <c r="E25" s="8" t="s">
        <v>110</v>
      </c>
      <c r="F25" s="8"/>
    </row>
    <row r="26" spans="1:6" ht="15" customHeight="1">
      <c r="A26" s="10" t="s">
        <v>31</v>
      </c>
      <c r="B26" s="9"/>
      <c r="C26" s="8"/>
      <c r="D26" s="8"/>
      <c r="E26" s="8" t="s">
        <v>120</v>
      </c>
      <c r="F26" s="8" t="s">
        <v>117</v>
      </c>
    </row>
    <row r="27" spans="1:6" ht="15" customHeight="1">
      <c r="A27" s="12"/>
      <c r="B27" s="6"/>
      <c r="C27" s="6">
        <v>25.5</v>
      </c>
      <c r="D27" s="7">
        <f>SUM(D4:D25)</f>
        <v>199</v>
      </c>
      <c r="E27" s="7"/>
      <c r="F27" s="2"/>
    </row>
    <row r="28" spans="1:6" ht="15" customHeight="1">
      <c r="A28" s="13"/>
      <c r="B28" s="14"/>
      <c r="C28" s="14"/>
      <c r="D28" s="14"/>
      <c r="E28" s="14"/>
      <c r="F28" s="14"/>
    </row>
    <row r="29" spans="1:6" ht="15" customHeight="1">
      <c r="A29" s="29" t="str">
        <f>A2</f>
        <v>Méthodes et formules démontrées</v>
      </c>
      <c r="B29" s="30"/>
      <c r="C29" s="30"/>
      <c r="D29" s="30"/>
      <c r="E29" s="30"/>
      <c r="F29" s="51"/>
    </row>
    <row r="30" spans="1:6" s="3" customFormat="1" ht="15" customHeight="1">
      <c r="A30" s="25"/>
      <c r="B30" s="26" t="s">
        <v>98</v>
      </c>
      <c r="C30" s="26" t="s">
        <v>17</v>
      </c>
      <c r="D30" s="27"/>
      <c r="E30" s="27"/>
      <c r="F30" s="28"/>
    </row>
    <row r="31" spans="1:6" ht="15" customHeight="1">
      <c r="A31" s="15" t="s">
        <v>3</v>
      </c>
      <c r="B31" s="15"/>
      <c r="C31" s="15"/>
      <c r="D31" s="16"/>
      <c r="E31" s="16"/>
      <c r="F31" s="16"/>
    </row>
    <row r="32" spans="1:6" ht="15" customHeight="1">
      <c r="A32" s="17" t="s">
        <v>29</v>
      </c>
      <c r="B32" s="18"/>
      <c r="C32" s="18"/>
      <c r="D32" s="8"/>
      <c r="E32" s="8" t="s">
        <v>110</v>
      </c>
      <c r="F32" s="8"/>
    </row>
    <row r="33" spans="1:6" ht="15" customHeight="1">
      <c r="A33" s="19" t="s">
        <v>4</v>
      </c>
      <c r="B33" s="18"/>
      <c r="C33" s="18"/>
      <c r="D33" s="8">
        <v>2</v>
      </c>
      <c r="E33" s="8" t="s">
        <v>116</v>
      </c>
      <c r="F33" s="8"/>
    </row>
    <row r="34" spans="1:6" ht="15" customHeight="1">
      <c r="A34" s="19" t="s">
        <v>33</v>
      </c>
      <c r="B34" s="18"/>
      <c r="C34" s="18"/>
      <c r="D34" s="8"/>
      <c r="E34" s="8" t="s">
        <v>116</v>
      </c>
      <c r="F34" s="8" t="s">
        <v>127</v>
      </c>
    </row>
    <row r="35" spans="1:6" ht="15" customHeight="1">
      <c r="A35" s="19" t="s">
        <v>89</v>
      </c>
      <c r="B35" s="18"/>
      <c r="C35" s="18">
        <v>1</v>
      </c>
      <c r="D35" s="8">
        <v>18</v>
      </c>
      <c r="E35" s="8" t="s">
        <v>116</v>
      </c>
      <c r="F35" s="8" t="s">
        <v>128</v>
      </c>
    </row>
    <row r="36" spans="1:6" ht="15" customHeight="1">
      <c r="A36" s="19" t="s">
        <v>10</v>
      </c>
      <c r="B36" s="18"/>
      <c r="C36" s="18"/>
      <c r="D36" s="8">
        <v>6</v>
      </c>
      <c r="E36" s="8"/>
      <c r="F36" s="8"/>
    </row>
    <row r="37" spans="1:6" ht="15" customHeight="1">
      <c r="A37" s="19" t="s">
        <v>88</v>
      </c>
      <c r="B37" s="18" t="s">
        <v>21</v>
      </c>
      <c r="C37" s="18"/>
      <c r="D37" s="8">
        <v>18</v>
      </c>
      <c r="E37" s="8"/>
      <c r="F37" s="8" t="s">
        <v>117</v>
      </c>
    </row>
    <row r="38" spans="1:6" ht="15" customHeight="1">
      <c r="A38" s="19" t="s">
        <v>32</v>
      </c>
      <c r="B38" s="18"/>
      <c r="C38" s="18"/>
      <c r="D38" s="8"/>
      <c r="E38" s="8"/>
      <c r="F38" s="8"/>
    </row>
    <row r="39" spans="1:6" ht="15" customHeight="1">
      <c r="A39" s="19" t="s">
        <v>30</v>
      </c>
      <c r="B39" s="18"/>
      <c r="C39" s="18"/>
      <c r="D39" s="8"/>
      <c r="E39" s="8"/>
      <c r="F39" s="8"/>
    </row>
    <row r="40" spans="1:6" ht="15" customHeight="1">
      <c r="A40" s="19" t="s">
        <v>5</v>
      </c>
      <c r="B40" s="18"/>
      <c r="C40" s="18"/>
      <c r="D40" s="8">
        <v>12</v>
      </c>
      <c r="E40" s="8"/>
      <c r="F40" s="8" t="s">
        <v>125</v>
      </c>
    </row>
    <row r="41" spans="1:6" ht="15" customHeight="1">
      <c r="A41" s="19" t="s">
        <v>18</v>
      </c>
      <c r="B41" s="18"/>
      <c r="C41" s="18">
        <v>1</v>
      </c>
      <c r="D41" s="8"/>
      <c r="E41" s="8"/>
      <c r="F41" s="8" t="s">
        <v>117</v>
      </c>
    </row>
    <row r="42" spans="1:6" ht="15" customHeight="1">
      <c r="A42" s="19" t="s">
        <v>34</v>
      </c>
      <c r="B42" s="18"/>
      <c r="C42" s="18"/>
      <c r="D42" s="8">
        <v>18</v>
      </c>
      <c r="E42" s="8"/>
      <c r="F42" s="8"/>
    </row>
    <row r="43" spans="1:6" ht="15" customHeight="1">
      <c r="A43" s="19" t="s">
        <v>6</v>
      </c>
      <c r="B43" s="18"/>
      <c r="C43" s="18"/>
      <c r="D43" s="8"/>
      <c r="E43" s="8" t="s">
        <v>126</v>
      </c>
      <c r="F43" s="8"/>
    </row>
    <row r="44" spans="1:6" ht="15" customHeight="1">
      <c r="A44" s="19" t="s">
        <v>35</v>
      </c>
      <c r="B44" s="18"/>
      <c r="C44" s="18"/>
      <c r="D44" s="8"/>
      <c r="E44" s="8"/>
      <c r="F44" s="8"/>
    </row>
    <row r="45" spans="1:6" ht="15" customHeight="1">
      <c r="A45" s="19" t="s">
        <v>100</v>
      </c>
      <c r="B45" s="18"/>
      <c r="C45" s="18"/>
      <c r="D45" s="8"/>
      <c r="E45" s="8"/>
      <c r="F45" s="8"/>
    </row>
    <row r="46" spans="1:6" ht="15" customHeight="1">
      <c r="A46" s="19" t="s">
        <v>101</v>
      </c>
      <c r="B46" s="18"/>
      <c r="C46" s="18"/>
      <c r="D46" s="8"/>
      <c r="E46" s="8"/>
      <c r="F46" s="8"/>
    </row>
    <row r="47" spans="1:6" ht="15" customHeight="1">
      <c r="A47" s="19" t="s">
        <v>37</v>
      </c>
      <c r="B47" s="18"/>
      <c r="C47" s="18"/>
      <c r="D47" s="8"/>
      <c r="E47" s="8" t="s">
        <v>126</v>
      </c>
      <c r="F47" s="8"/>
    </row>
    <row r="48" spans="1:6" ht="15" customHeight="1">
      <c r="A48" s="19" t="s">
        <v>102</v>
      </c>
      <c r="B48" s="18"/>
      <c r="C48" s="18"/>
      <c r="D48" s="8">
        <v>4</v>
      </c>
      <c r="E48" s="8" t="s">
        <v>126</v>
      </c>
      <c r="F48" s="8"/>
    </row>
    <row r="49" spans="1:6" ht="15" customHeight="1">
      <c r="A49" s="20"/>
      <c r="B49" s="21"/>
      <c r="C49" s="21"/>
      <c r="D49" s="22"/>
      <c r="E49" s="22"/>
      <c r="F49" s="22"/>
    </row>
    <row r="50" spans="1:6" ht="15" customHeight="1">
      <c r="A50" s="12"/>
      <c r="B50" s="6"/>
      <c r="C50" s="6">
        <v>1</v>
      </c>
      <c r="D50" s="7">
        <f>SUM(D31:D49)</f>
        <v>78</v>
      </c>
      <c r="E50" s="7"/>
      <c r="F50" s="2"/>
    </row>
    <row r="51" spans="1:6" ht="15" customHeight="1">
      <c r="A51" s="13"/>
      <c r="B51" s="14"/>
      <c r="C51" s="14"/>
      <c r="D51" s="14"/>
      <c r="E51" s="14"/>
      <c r="F51" s="14"/>
    </row>
    <row r="52" spans="1:6" ht="15" customHeight="1">
      <c r="A52" s="29" t="str">
        <f>A2</f>
        <v>Méthodes et formules démontrées</v>
      </c>
      <c r="B52" s="30"/>
      <c r="C52" s="30"/>
      <c r="D52" s="30"/>
      <c r="E52" s="30"/>
      <c r="F52" s="51"/>
    </row>
    <row r="53" spans="1:6" s="3" customFormat="1" ht="15" customHeight="1">
      <c r="A53" s="25"/>
      <c r="B53" s="26" t="s">
        <v>98</v>
      </c>
      <c r="C53" s="26" t="s">
        <v>17</v>
      </c>
      <c r="D53" s="27"/>
      <c r="E53" s="27"/>
      <c r="F53" s="28"/>
    </row>
    <row r="54" spans="1:6" ht="15" customHeight="1">
      <c r="A54" s="16" t="s">
        <v>7</v>
      </c>
      <c r="B54" s="16"/>
      <c r="C54" s="16"/>
      <c r="D54" s="16"/>
      <c r="E54" s="16"/>
      <c r="F54" s="16"/>
    </row>
    <row r="55" spans="1:6" ht="15" customHeight="1">
      <c r="A55" s="10" t="s">
        <v>9</v>
      </c>
      <c r="B55" s="8"/>
      <c r="C55" s="8"/>
      <c r="D55" s="8">
        <v>4</v>
      </c>
      <c r="E55" s="8" t="s">
        <v>116</v>
      </c>
      <c r="F55" s="8"/>
    </row>
    <row r="56" spans="1:6" ht="15" customHeight="1">
      <c r="A56" s="10" t="s">
        <v>26</v>
      </c>
      <c r="B56" s="8"/>
      <c r="C56" s="8"/>
      <c r="D56" s="8"/>
      <c r="E56" s="8" t="s">
        <v>120</v>
      </c>
      <c r="F56" s="8" t="s">
        <v>122</v>
      </c>
    </row>
    <row r="57" spans="1:6" ht="15" customHeight="1">
      <c r="A57" s="11" t="s">
        <v>39</v>
      </c>
      <c r="B57" s="8"/>
      <c r="C57" s="8"/>
      <c r="D57" s="8">
        <v>21</v>
      </c>
      <c r="E57" s="8" t="s">
        <v>116</v>
      </c>
      <c r="F57" s="8"/>
    </row>
    <row r="58" spans="1:6" ht="15" customHeight="1">
      <c r="A58" s="10" t="s">
        <v>103</v>
      </c>
      <c r="B58" s="8" t="s">
        <v>21</v>
      </c>
      <c r="C58" s="8">
        <v>5</v>
      </c>
      <c r="D58" s="8">
        <v>108</v>
      </c>
      <c r="E58" s="8" t="s">
        <v>123</v>
      </c>
      <c r="F58" s="8" t="s">
        <v>124</v>
      </c>
    </row>
    <row r="59" spans="1:6" ht="15" customHeight="1">
      <c r="A59" s="10" t="s">
        <v>24</v>
      </c>
      <c r="B59" s="8"/>
      <c r="C59" s="8"/>
      <c r="D59" s="8"/>
      <c r="E59" s="8" t="s">
        <v>123</v>
      </c>
      <c r="F59" s="8"/>
    </row>
    <row r="60" spans="1:6" ht="15" customHeight="1">
      <c r="A60" s="10" t="s">
        <v>25</v>
      </c>
      <c r="B60" s="8"/>
      <c r="C60" s="8"/>
      <c r="D60" s="8"/>
      <c r="E60" s="8" t="s">
        <v>116</v>
      </c>
      <c r="F60" s="8"/>
    </row>
    <row r="61" spans="1:6" ht="15" customHeight="1">
      <c r="A61" s="10" t="s">
        <v>38</v>
      </c>
      <c r="B61" s="8"/>
      <c r="C61" s="8"/>
      <c r="D61" s="8">
        <v>12</v>
      </c>
      <c r="E61" s="8" t="s">
        <v>116</v>
      </c>
      <c r="F61" s="8"/>
    </row>
    <row r="62" spans="1:6" ht="15" customHeight="1">
      <c r="A62" s="10" t="s">
        <v>40</v>
      </c>
      <c r="B62" s="8"/>
      <c r="C62" s="8"/>
      <c r="D62" s="8"/>
      <c r="E62" s="8" t="s">
        <v>116</v>
      </c>
      <c r="F62" s="8"/>
    </row>
    <row r="63" spans="1:6" ht="15" customHeight="1">
      <c r="A63" s="10" t="s">
        <v>41</v>
      </c>
      <c r="B63" s="8"/>
      <c r="C63" s="8">
        <v>2</v>
      </c>
      <c r="D63" s="8">
        <v>5</v>
      </c>
      <c r="E63" s="8" t="s">
        <v>120</v>
      </c>
      <c r="F63" s="8"/>
    </row>
    <row r="64" spans="1:6" ht="15" customHeight="1">
      <c r="A64" s="10" t="s">
        <v>43</v>
      </c>
      <c r="B64" s="8"/>
      <c r="C64" s="8"/>
      <c r="D64" s="8"/>
      <c r="E64" s="8"/>
      <c r="F64" s="8"/>
    </row>
    <row r="65" spans="1:6" ht="15" customHeight="1">
      <c r="A65" s="10"/>
      <c r="B65" s="8"/>
      <c r="C65" s="8"/>
      <c r="D65" s="8"/>
      <c r="E65" s="8"/>
      <c r="F65" s="8"/>
    </row>
    <row r="66" spans="1:6" ht="15" customHeight="1">
      <c r="A66" s="12" t="s">
        <v>28</v>
      </c>
      <c r="B66" s="6"/>
      <c r="C66" s="6">
        <v>7</v>
      </c>
      <c r="D66" s="7">
        <f>SUM(D54:D61)</f>
        <v>145</v>
      </c>
      <c r="E66" s="7"/>
      <c r="F66" s="2"/>
    </row>
    <row r="67" spans="1:6" s="3" customFormat="1" ht="15" customHeight="1">
      <c r="A67" s="13"/>
      <c r="B67" s="14"/>
      <c r="C67" s="14"/>
      <c r="D67" s="14"/>
      <c r="E67" s="14"/>
      <c r="F67" s="14"/>
    </row>
    <row r="68" spans="1:6">
      <c r="A68" s="23" t="s">
        <v>42</v>
      </c>
      <c r="B68" s="24"/>
      <c r="C68" s="52">
        <v>33.5</v>
      </c>
      <c r="D68" s="52">
        <f>D66+D50+D27</f>
        <v>422</v>
      </c>
      <c r="E68" s="52"/>
      <c r="F68" s="52"/>
    </row>
    <row r="69" spans="1:6">
      <c r="A69" s="33"/>
      <c r="B69" s="33"/>
      <c r="C69" s="14"/>
      <c r="D69" s="31"/>
      <c r="E69" s="31"/>
      <c r="F69" s="31"/>
    </row>
    <row r="71" spans="1:6" s="3" customFormat="1">
      <c r="A71" s="42"/>
      <c r="B71" s="53"/>
      <c r="C71" s="53"/>
      <c r="D71" s="53"/>
      <c r="E71" s="53"/>
      <c r="F71" s="42"/>
    </row>
    <row r="72" spans="1:6" s="3" customFormat="1">
      <c r="A72" s="32"/>
      <c r="B72" s="32"/>
      <c r="C72" s="32"/>
      <c r="D72" s="32"/>
      <c r="E72" s="32"/>
      <c r="F72" s="32"/>
    </row>
    <row r="73" spans="1:6" s="3" customFormat="1">
      <c r="A73" s="41"/>
      <c r="B73" s="41"/>
      <c r="C73" s="32"/>
      <c r="D73" s="42"/>
      <c r="E73" s="42"/>
      <c r="F73" s="42"/>
    </row>
    <row r="74" spans="1:6" s="3" customFormat="1">
      <c r="A74" s="41"/>
      <c r="B74" s="41"/>
      <c r="C74" s="32"/>
      <c r="D74" s="42"/>
      <c r="E74" s="42"/>
      <c r="F74" s="42"/>
    </row>
    <row r="75" spans="1:6" s="3" customFormat="1">
      <c r="A75" s="41"/>
      <c r="B75" s="41"/>
      <c r="C75" s="32"/>
      <c r="D75" s="42"/>
      <c r="E75" s="42"/>
      <c r="F75" s="42"/>
    </row>
    <row r="76" spans="1:6" s="3" customFormat="1" ht="6" customHeight="1">
      <c r="A76" s="41"/>
      <c r="B76" s="41"/>
      <c r="C76" s="32"/>
      <c r="D76" s="42"/>
      <c r="E76" s="42"/>
      <c r="F76" s="42"/>
    </row>
    <row r="77" spans="1:6" s="3" customFormat="1">
      <c r="A77" s="41"/>
      <c r="B77" s="41"/>
      <c r="C77" s="32"/>
      <c r="D77" s="42"/>
      <c r="E77" s="42"/>
      <c r="F77" s="42"/>
    </row>
    <row r="78" spans="1:6" s="3" customFormat="1">
      <c r="D78" s="4"/>
      <c r="E78" s="4"/>
    </row>
    <row r="79" spans="1:6" s="3" customFormat="1">
      <c r="D79" s="4"/>
      <c r="E79" s="4"/>
    </row>
    <row r="80" spans="1:6" s="3" customFormat="1">
      <c r="D80" s="4"/>
      <c r="E80" s="4"/>
    </row>
    <row r="81" spans="4:5" s="3" customFormat="1">
      <c r="D81" s="4"/>
      <c r="E81" s="4"/>
    </row>
    <row r="82" spans="4:5" s="3" customFormat="1">
      <c r="D82" s="4"/>
      <c r="E82" s="4"/>
    </row>
    <row r="83" spans="4:5" s="3" customFormat="1">
      <c r="D83" s="4"/>
      <c r="E83" s="4"/>
    </row>
    <row r="84" spans="4:5" s="3" customFormat="1">
      <c r="D84" s="4"/>
      <c r="E84" s="4"/>
    </row>
    <row r="85" spans="4:5" s="3" customFormat="1">
      <c r="D85" s="4"/>
      <c r="E85" s="4"/>
    </row>
    <row r="86" spans="4:5" s="3" customFormat="1">
      <c r="D86" s="4"/>
      <c r="E86" s="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70"/>
  <sheetViews>
    <sheetView showGridLines="0" topLeftCell="A21" zoomScaleNormal="100" workbookViewId="0">
      <selection activeCell="V64" sqref="V64"/>
    </sheetView>
  </sheetViews>
  <sheetFormatPr baseColWidth="10" defaultRowHeight="15"/>
  <cols>
    <col min="1" max="1" width="2.140625" customWidth="1"/>
    <col min="2" max="2" width="2.7109375" style="1" customWidth="1"/>
    <col min="3" max="3" width="22.5703125" bestFit="1" customWidth="1"/>
    <col min="4" max="4" width="4.5703125" customWidth="1"/>
    <col min="5" max="6" width="4.5703125" style="1" customWidth="1"/>
    <col min="7" max="7" width="4.42578125" style="1" bestFit="1" customWidth="1"/>
    <col min="8" max="8" width="2.7109375" style="1" customWidth="1"/>
    <col min="9" max="9" width="32.7109375" customWidth="1"/>
    <col min="10" max="13" width="7" bestFit="1" customWidth="1"/>
    <col min="14" max="14" width="2" style="3" customWidth="1"/>
    <col min="15" max="15" width="2.7109375" style="1" customWidth="1"/>
    <col min="16" max="16" width="32.7109375" customWidth="1"/>
    <col min="17" max="20" width="7" bestFit="1" customWidth="1"/>
    <col min="21" max="21" width="2.7109375" customWidth="1"/>
    <col min="22" max="24" width="7" customWidth="1"/>
    <col min="25" max="25" width="2.7109375" customWidth="1"/>
    <col min="26" max="26" width="7" customWidth="1"/>
    <col min="27" max="27" width="13.42578125" customWidth="1"/>
    <col min="28" max="28" width="12" customWidth="1"/>
    <col min="29" max="29" width="7.42578125" bestFit="1" customWidth="1"/>
    <col min="30" max="30" width="65.5703125" style="119" bestFit="1" customWidth="1"/>
    <col min="31" max="31" width="37" customWidth="1"/>
    <col min="32" max="32" width="38.42578125" bestFit="1" customWidth="1"/>
    <col min="33" max="33" width="2.28515625" style="54" bestFit="1" customWidth="1"/>
    <col min="34" max="34" width="5.85546875" bestFit="1" customWidth="1"/>
    <col min="35" max="35" width="2.42578125" bestFit="1" customWidth="1"/>
    <col min="36" max="36" width="12" bestFit="1" customWidth="1"/>
    <col min="37" max="37" width="5.5703125" bestFit="1" customWidth="1"/>
    <col min="38" max="38" width="3" bestFit="1" customWidth="1"/>
    <col min="39" max="39" width="2.5703125" bestFit="1" customWidth="1"/>
    <col min="40" max="40" width="2.5703125" customWidth="1"/>
    <col min="41" max="41" width="14.42578125" customWidth="1"/>
    <col min="43" max="43" width="52.42578125" customWidth="1"/>
  </cols>
  <sheetData>
    <row r="2" spans="2:43">
      <c r="B2" s="481" t="str">
        <f>AQ3</f>
        <v xml:space="preserve">Nombre d'objet construit : 71 / 83 = 85,54 %   ;   Nombre d'objet Découvert ou Modifié : 42 / 83 = 50,6 % 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3"/>
      <c r="N2" s="31"/>
      <c r="O2" s="127"/>
      <c r="P2" s="128"/>
      <c r="Q2" s="128"/>
      <c r="R2" s="128"/>
      <c r="S2" s="128"/>
      <c r="T2" s="129"/>
      <c r="U2" s="31"/>
      <c r="V2" s="31"/>
      <c r="W2" s="31"/>
      <c r="X2" s="31"/>
      <c r="Y2" s="31"/>
      <c r="Z2" s="31"/>
      <c r="AA2" s="31"/>
      <c r="AB2" s="31"/>
      <c r="AC2" s="31"/>
      <c r="AD2" s="117"/>
      <c r="AE2" s="96" t="s">
        <v>146</v>
      </c>
      <c r="AF2" s="96">
        <f>AF3+AF4+AF5</f>
        <v>71</v>
      </c>
      <c r="AG2" s="97" t="s">
        <v>95</v>
      </c>
      <c r="AH2" s="96">
        <f>C43</f>
        <v>83</v>
      </c>
      <c r="AI2" s="96" t="s">
        <v>147</v>
      </c>
      <c r="AJ2" s="96">
        <f>AF2/AH2*10000</f>
        <v>8554.2168674698787</v>
      </c>
      <c r="AK2" s="96">
        <f>INT(AJ2)</f>
        <v>8554</v>
      </c>
      <c r="AL2" s="96">
        <f>AK2/100</f>
        <v>85.54</v>
      </c>
      <c r="AM2" s="98" t="s">
        <v>96</v>
      </c>
      <c r="AN2" s="98"/>
      <c r="AO2" s="96" t="str">
        <f>AF2&amp;AG2&amp;AH2&amp;AI2&amp;AL2&amp;AM2</f>
        <v xml:space="preserve">71 / 83 = 85,54 % </v>
      </c>
      <c r="AQ2" t="str">
        <f>AE2&amp;AO2</f>
        <v xml:space="preserve">Nombre d'objet construit : 71 / 83 = 85,54 % </v>
      </c>
    </row>
    <row r="3" spans="2:43" s="55" customFormat="1" ht="25.5">
      <c r="B3" s="105"/>
      <c r="C3" s="106" t="s">
        <v>140</v>
      </c>
      <c r="D3" s="38" t="s">
        <v>139</v>
      </c>
      <c r="E3" s="106" t="s">
        <v>163</v>
      </c>
      <c r="F3" s="38" t="s">
        <v>138</v>
      </c>
      <c r="G3" s="107" t="s">
        <v>137</v>
      </c>
      <c r="H3" s="106"/>
      <c r="I3" s="106" t="str">
        <f>C3</f>
        <v>Libéllé</v>
      </c>
      <c r="J3" s="106" t="s">
        <v>139</v>
      </c>
      <c r="K3" s="38" t="s">
        <v>163</v>
      </c>
      <c r="L3" s="38" t="s">
        <v>138</v>
      </c>
      <c r="M3" s="107" t="s">
        <v>137</v>
      </c>
      <c r="N3" s="115"/>
      <c r="O3" s="105"/>
      <c r="P3" s="106" t="str">
        <f>I3</f>
        <v>Libéllé</v>
      </c>
      <c r="Q3" s="106" t="s">
        <v>139</v>
      </c>
      <c r="R3" s="38" t="s">
        <v>163</v>
      </c>
      <c r="S3" s="38" t="s">
        <v>138</v>
      </c>
      <c r="T3" s="107" t="s">
        <v>137</v>
      </c>
      <c r="U3" s="115"/>
      <c r="V3" s="115"/>
      <c r="W3" s="115"/>
      <c r="X3" s="115"/>
      <c r="Y3" s="115"/>
      <c r="Z3" s="115"/>
      <c r="AA3" s="115"/>
      <c r="AB3" s="115"/>
      <c r="AC3" s="115"/>
      <c r="AD3" s="118"/>
      <c r="AE3" s="99" t="s">
        <v>142</v>
      </c>
      <c r="AF3" s="96">
        <f>F43</f>
        <v>20</v>
      </c>
      <c r="AG3" s="97" t="s">
        <v>95</v>
      </c>
      <c r="AH3" s="96">
        <f>AH2</f>
        <v>83</v>
      </c>
      <c r="AI3" s="96" t="str">
        <f>AI2</f>
        <v xml:space="preserve"> = </v>
      </c>
      <c r="AJ3" s="96">
        <f>AF3/AH3*10000</f>
        <v>2409.6385542168673</v>
      </c>
      <c r="AK3" s="96">
        <f t="shared" ref="AK3:AK6" si="0">INT(AJ3)</f>
        <v>2409</v>
      </c>
      <c r="AL3" s="96">
        <f t="shared" ref="AL3:AL6" si="1">AK3/100</f>
        <v>24.09</v>
      </c>
      <c r="AM3" s="98" t="s">
        <v>96</v>
      </c>
      <c r="AN3" s="98"/>
      <c r="AO3" s="96" t="str">
        <f>AF3&amp;AG3&amp;AH3&amp;AI3&amp;AL3&amp;AM3</f>
        <v xml:space="preserve">20 / 83 = 24,09 % </v>
      </c>
      <c r="AQ3" t="str">
        <f>AQ2&amp;"  ;   "&amp;AQ8</f>
        <v xml:space="preserve">Nombre d'objet construit : 71 / 83 = 85,54 %   ;   Nombre d'objet Découvert ou Modifié : 42 / 83 = 50,6 % </v>
      </c>
    </row>
    <row r="4" spans="2:43">
      <c r="B4" s="35">
        <v>1</v>
      </c>
      <c r="C4" s="101" t="s">
        <v>54</v>
      </c>
      <c r="D4" s="125"/>
      <c r="E4" s="125">
        <v>1</v>
      </c>
      <c r="F4" s="125"/>
      <c r="G4" s="125"/>
      <c r="H4" s="35">
        <v>1</v>
      </c>
      <c r="I4" s="101" t="s">
        <v>69</v>
      </c>
      <c r="J4" s="101"/>
      <c r="K4" s="125"/>
      <c r="L4" s="125"/>
      <c r="M4" s="126">
        <v>1</v>
      </c>
      <c r="N4" s="42"/>
      <c r="O4" s="35">
        <v>1</v>
      </c>
      <c r="P4" s="101" t="s">
        <v>186</v>
      </c>
      <c r="Q4" s="101"/>
      <c r="R4" s="125"/>
      <c r="S4" s="125"/>
      <c r="T4" s="126">
        <v>1</v>
      </c>
      <c r="U4" s="42"/>
      <c r="V4" s="42"/>
      <c r="W4" s="42"/>
      <c r="X4" s="42"/>
      <c r="Y4" s="42"/>
      <c r="Z4" s="42"/>
      <c r="AA4" s="42"/>
      <c r="AB4" s="42"/>
      <c r="AC4" s="42"/>
      <c r="AD4" s="117"/>
      <c r="AE4" s="96" t="s">
        <v>144</v>
      </c>
      <c r="AF4" s="96">
        <f>E43</f>
        <v>22</v>
      </c>
      <c r="AG4" s="97" t="s">
        <v>95</v>
      </c>
      <c r="AH4" s="96">
        <f t="shared" ref="AH4:AI5" si="2">AH3</f>
        <v>83</v>
      </c>
      <c r="AI4" s="96" t="str">
        <f t="shared" si="2"/>
        <v xml:space="preserve"> = </v>
      </c>
      <c r="AJ4" s="96">
        <f>AF4/AH4*10000</f>
        <v>2650.6024096385545</v>
      </c>
      <c r="AK4" s="96">
        <f t="shared" si="0"/>
        <v>2650</v>
      </c>
      <c r="AL4" s="96">
        <f t="shared" si="1"/>
        <v>26.5</v>
      </c>
      <c r="AM4" s="98" t="s">
        <v>96</v>
      </c>
      <c r="AN4" s="98"/>
      <c r="AO4" s="96" t="str">
        <f>AF4&amp;AG4&amp;AH4&amp;AI4&amp;AL4&amp;AM4</f>
        <v xml:space="preserve">22 / 83 = 26,5 % </v>
      </c>
    </row>
    <row r="5" spans="2:43">
      <c r="B5" s="58">
        <v>1</v>
      </c>
      <c r="C5" s="41" t="s">
        <v>91</v>
      </c>
      <c r="D5" s="41"/>
      <c r="E5" s="42">
        <v>1</v>
      </c>
      <c r="F5" s="42"/>
      <c r="G5" s="42"/>
      <c r="H5" s="58">
        <v>1</v>
      </c>
      <c r="I5" s="41" t="s">
        <v>85</v>
      </c>
      <c r="J5" s="41"/>
      <c r="K5" s="42"/>
      <c r="L5" s="42"/>
      <c r="M5" s="59">
        <v>1</v>
      </c>
      <c r="N5" s="42"/>
      <c r="O5" s="58">
        <v>1</v>
      </c>
      <c r="P5" s="41" t="s">
        <v>315</v>
      </c>
      <c r="Q5" s="41"/>
      <c r="R5" s="42"/>
      <c r="S5" s="42">
        <v>1</v>
      </c>
      <c r="T5" s="59"/>
      <c r="U5" s="42"/>
      <c r="V5" s="42"/>
      <c r="W5" s="42"/>
      <c r="X5" s="42"/>
      <c r="Y5" s="42"/>
      <c r="Z5" s="42"/>
      <c r="AA5" s="42"/>
      <c r="AB5" s="42"/>
      <c r="AC5" s="42"/>
      <c r="AD5" s="119" t="str">
        <f>AQ19</f>
        <v xml:space="preserve">Nombre d'objet découvert : 20 / 83 = 24,09 % </v>
      </c>
      <c r="AE5" s="96" t="s">
        <v>143</v>
      </c>
      <c r="AF5" s="96">
        <f>D43</f>
        <v>29</v>
      </c>
      <c r="AG5" s="97" t="s">
        <v>95</v>
      </c>
      <c r="AH5" s="96">
        <f t="shared" si="2"/>
        <v>83</v>
      </c>
      <c r="AI5" s="96" t="str">
        <f t="shared" si="2"/>
        <v xml:space="preserve"> = </v>
      </c>
      <c r="AJ5" s="96">
        <f>AF5/AH5*10000</f>
        <v>3493.9759036144578</v>
      </c>
      <c r="AK5" s="96">
        <f t="shared" si="0"/>
        <v>3493</v>
      </c>
      <c r="AL5" s="96">
        <f t="shared" si="1"/>
        <v>34.93</v>
      </c>
      <c r="AM5" s="98" t="s">
        <v>96</v>
      </c>
      <c r="AN5" s="98"/>
      <c r="AO5" s="96" t="str">
        <f>AF5&amp;AG5&amp;AH5&amp;AI5&amp;AL5&amp;AM5</f>
        <v xml:space="preserve">29 / 83 = 34,93 % </v>
      </c>
      <c r="AQ5" t="str">
        <f>AE3&amp;AO3</f>
        <v xml:space="preserve">Nombre d'objet découvert : 20 / 83 = 24,09 % </v>
      </c>
    </row>
    <row r="6" spans="2:43">
      <c r="B6" s="58">
        <v>1</v>
      </c>
      <c r="C6" s="41" t="s">
        <v>165</v>
      </c>
      <c r="D6" s="42"/>
      <c r="E6" s="42">
        <v>1</v>
      </c>
      <c r="F6" s="42"/>
      <c r="G6" s="42"/>
      <c r="H6" s="58">
        <v>1</v>
      </c>
      <c r="I6" s="41" t="s">
        <v>84</v>
      </c>
      <c r="J6" s="41"/>
      <c r="K6" s="42"/>
      <c r="L6" s="42"/>
      <c r="M6" s="59">
        <v>1</v>
      </c>
      <c r="N6" s="42"/>
      <c r="O6" s="58">
        <v>1</v>
      </c>
      <c r="P6" s="41" t="s">
        <v>316</v>
      </c>
      <c r="Q6" s="41"/>
      <c r="R6" s="42"/>
      <c r="S6" s="42"/>
      <c r="T6" s="59">
        <v>1</v>
      </c>
      <c r="U6" s="42"/>
      <c r="V6" s="42"/>
      <c r="W6" s="42"/>
      <c r="X6" s="42"/>
      <c r="Y6" s="42"/>
      <c r="Z6" s="42"/>
      <c r="AA6" s="42"/>
      <c r="AB6" s="42"/>
      <c r="AC6" s="42"/>
      <c r="AD6" s="119" t="str">
        <f>AQ20</f>
        <v xml:space="preserve">Nombre d'objet modifié :  22 / 83 = 26,5 % </v>
      </c>
      <c r="AE6" s="96" t="s">
        <v>145</v>
      </c>
      <c r="AF6" s="96">
        <f>G43</f>
        <v>42</v>
      </c>
      <c r="AG6" s="97" t="s">
        <v>95</v>
      </c>
      <c r="AH6" s="96">
        <f t="shared" ref="AH6:AI6" si="3">AH5</f>
        <v>83</v>
      </c>
      <c r="AI6" s="96" t="str">
        <f t="shared" si="3"/>
        <v xml:space="preserve"> = </v>
      </c>
      <c r="AJ6" s="96">
        <f>AF6/AH6*10000</f>
        <v>5060.2409638554209</v>
      </c>
      <c r="AK6" s="96">
        <f t="shared" si="0"/>
        <v>5060</v>
      </c>
      <c r="AL6" s="96">
        <f t="shared" si="1"/>
        <v>50.6</v>
      </c>
      <c r="AM6" s="98" t="s">
        <v>96</v>
      </c>
      <c r="AN6" s="98"/>
      <c r="AO6" s="96" t="str">
        <f>AF6&amp;AG6&amp;AH6&amp;AI6&amp;AL6&amp;AM6</f>
        <v xml:space="preserve">42 / 83 = 50,6 % </v>
      </c>
      <c r="AQ6" t="str">
        <f>AE4&amp;AO4</f>
        <v xml:space="preserve">Nombre d'objet modifié :  22 / 83 = 26,5 % </v>
      </c>
    </row>
    <row r="7" spans="2:43">
      <c r="B7" s="58">
        <v>1</v>
      </c>
      <c r="C7" s="41" t="s">
        <v>53</v>
      </c>
      <c r="D7" s="42"/>
      <c r="E7" s="42">
        <v>1</v>
      </c>
      <c r="F7" s="42"/>
      <c r="G7" s="42"/>
      <c r="H7" s="58"/>
      <c r="I7" s="110" t="s">
        <v>174</v>
      </c>
      <c r="J7" s="41"/>
      <c r="K7" s="41"/>
      <c r="L7" s="41"/>
      <c r="M7" s="59"/>
      <c r="N7" s="42"/>
      <c r="O7" s="58">
        <v>1</v>
      </c>
      <c r="P7" s="410" t="s">
        <v>494</v>
      </c>
      <c r="Q7" s="41"/>
      <c r="R7" s="41"/>
      <c r="S7" s="41"/>
      <c r="T7" s="59">
        <v>1</v>
      </c>
      <c r="U7" s="42"/>
      <c r="V7" s="42"/>
      <c r="W7" s="42"/>
      <c r="X7" s="42"/>
      <c r="Y7" s="42"/>
      <c r="Z7" s="42"/>
      <c r="AA7" s="42"/>
      <c r="AB7" s="42"/>
      <c r="AC7" s="42"/>
      <c r="AD7" s="119" t="str">
        <f>AQ21</f>
        <v xml:space="preserve">Nombre d'objet tracé : 29 / 83 = 34,93 % </v>
      </c>
      <c r="AQ7" t="str">
        <f>AE5&amp;AO5</f>
        <v xml:space="preserve">Nombre d'objet tracé : 29 / 83 = 34,93 % </v>
      </c>
    </row>
    <row r="8" spans="2:43">
      <c r="B8" s="58">
        <v>1</v>
      </c>
      <c r="C8" s="108" t="s">
        <v>166</v>
      </c>
      <c r="D8" s="41"/>
      <c r="E8" s="94">
        <v>1</v>
      </c>
      <c r="F8" s="42"/>
      <c r="G8" s="42"/>
      <c r="H8" s="58">
        <v>3</v>
      </c>
      <c r="I8" s="41" t="s">
        <v>317</v>
      </c>
      <c r="J8" s="41"/>
      <c r="K8" s="42">
        <v>3</v>
      </c>
      <c r="L8" s="42"/>
      <c r="M8" s="59"/>
      <c r="N8" s="42"/>
      <c r="O8" s="58">
        <v>1</v>
      </c>
      <c r="P8" s="41" t="s">
        <v>497</v>
      </c>
      <c r="Q8" s="41"/>
      <c r="R8" s="42"/>
      <c r="S8" s="42"/>
      <c r="T8" s="59">
        <v>1</v>
      </c>
      <c r="U8" s="42"/>
      <c r="V8" s="42"/>
      <c r="W8" s="42"/>
      <c r="X8" s="42"/>
      <c r="Y8" s="42"/>
      <c r="Z8" s="42"/>
      <c r="AA8" s="42"/>
      <c r="AB8" s="42"/>
      <c r="AC8" s="42"/>
      <c r="AQ8" t="str">
        <f>AE6&amp;AO6</f>
        <v xml:space="preserve">Nombre d'objet Découvert ou Modifié : 42 / 83 = 50,6 % </v>
      </c>
    </row>
    <row r="9" spans="2:43">
      <c r="B9" s="58">
        <v>1</v>
      </c>
      <c r="C9" s="108" t="s">
        <v>165</v>
      </c>
      <c r="D9" s="41"/>
      <c r="E9" s="94">
        <v>1</v>
      </c>
      <c r="F9" s="42"/>
      <c r="G9" s="42"/>
      <c r="H9" s="58">
        <v>1</v>
      </c>
      <c r="I9" s="41" t="s">
        <v>92</v>
      </c>
      <c r="J9" s="41"/>
      <c r="K9" s="42">
        <v>1</v>
      </c>
      <c r="L9" s="42"/>
      <c r="M9" s="59"/>
      <c r="N9" s="42"/>
      <c r="O9" s="58">
        <v>1</v>
      </c>
      <c r="P9" s="108" t="s">
        <v>498</v>
      </c>
      <c r="Q9" s="41"/>
      <c r="R9" s="42"/>
      <c r="S9" s="42"/>
      <c r="T9" s="59">
        <v>1</v>
      </c>
      <c r="U9" s="42"/>
      <c r="V9" s="42"/>
      <c r="W9" s="42"/>
      <c r="X9" s="42"/>
      <c r="Y9" s="42"/>
      <c r="Z9" s="42"/>
      <c r="AA9" s="42"/>
      <c r="AB9" s="42"/>
      <c r="AC9" s="42"/>
      <c r="AD9" s="119" t="str">
        <f>AQ2</f>
        <v xml:space="preserve">Nombre d'objet construit : 71 / 83 = 85,54 % </v>
      </c>
    </row>
    <row r="10" spans="2:43">
      <c r="B10" s="58"/>
      <c r="C10" s="110" t="s">
        <v>56</v>
      </c>
      <c r="D10" s="42"/>
      <c r="E10" s="42"/>
      <c r="F10" s="42"/>
      <c r="G10" s="42"/>
      <c r="H10" s="58">
        <v>1</v>
      </c>
      <c r="I10" s="41" t="s">
        <v>141</v>
      </c>
      <c r="J10" s="41"/>
      <c r="K10" s="42">
        <v>1</v>
      </c>
      <c r="L10" s="42"/>
      <c r="M10" s="59"/>
      <c r="N10" s="42"/>
      <c r="O10" s="58">
        <v>1</v>
      </c>
      <c r="P10" s="41" t="s">
        <v>496</v>
      </c>
      <c r="Q10" s="41"/>
      <c r="R10" s="42"/>
      <c r="S10" s="42"/>
      <c r="T10" s="59">
        <v>1</v>
      </c>
      <c r="U10" s="42"/>
      <c r="V10" s="42"/>
      <c r="W10" s="42"/>
      <c r="X10" s="42"/>
      <c r="Y10" s="42"/>
      <c r="Z10" s="42"/>
      <c r="AA10" s="42"/>
      <c r="AB10" s="42"/>
      <c r="AC10" s="42"/>
      <c r="AD10" s="119" t="str">
        <f>AQ8</f>
        <v xml:space="preserve">Nombre d'objet Découvert ou Modifié : 42 / 83 = 50,6 % </v>
      </c>
      <c r="AQ10" t="s">
        <v>161</v>
      </c>
    </row>
    <row r="11" spans="2:43">
      <c r="B11" s="58">
        <v>1</v>
      </c>
      <c r="C11" s="41" t="s">
        <v>46</v>
      </c>
      <c r="D11" s="42">
        <v>4</v>
      </c>
      <c r="E11" s="42">
        <v>1</v>
      </c>
      <c r="F11" s="42"/>
      <c r="G11" s="42"/>
      <c r="H11" s="58">
        <v>1</v>
      </c>
      <c r="I11" s="41" t="s">
        <v>93</v>
      </c>
      <c r="J11" s="41"/>
      <c r="K11" s="42"/>
      <c r="L11" s="42">
        <v>1</v>
      </c>
      <c r="M11" s="59"/>
      <c r="N11" s="42"/>
      <c r="O11" s="58">
        <v>1</v>
      </c>
      <c r="P11" s="41" t="s">
        <v>495</v>
      </c>
      <c r="Q11" s="41"/>
      <c r="R11" s="42"/>
      <c r="S11" s="42">
        <v>1</v>
      </c>
      <c r="T11" s="59">
        <v>0</v>
      </c>
      <c r="U11" s="42"/>
      <c r="V11" s="427" t="s">
        <v>499</v>
      </c>
      <c r="W11" s="42"/>
      <c r="X11" s="427" t="s">
        <v>500</v>
      </c>
      <c r="Y11" s="427" t="s">
        <v>501</v>
      </c>
      <c r="Z11" s="427"/>
      <c r="AA11" s="42"/>
      <c r="AB11" s="42"/>
      <c r="AC11" s="42"/>
      <c r="AD11" s="117"/>
    </row>
    <row r="12" spans="2:43">
      <c r="B12" s="58">
        <v>1</v>
      </c>
      <c r="C12" s="41" t="s">
        <v>47</v>
      </c>
      <c r="D12" s="42">
        <v>4</v>
      </c>
      <c r="E12" s="42">
        <v>1</v>
      </c>
      <c r="F12" s="42"/>
      <c r="G12" s="42"/>
      <c r="H12" s="58">
        <v>2</v>
      </c>
      <c r="I12" s="108" t="s">
        <v>170</v>
      </c>
      <c r="J12" s="41"/>
      <c r="K12" s="41"/>
      <c r="L12" s="42">
        <v>2</v>
      </c>
      <c r="M12" s="59"/>
      <c r="N12" s="42"/>
      <c r="O12" s="58"/>
      <c r="P12" s="108"/>
      <c r="Q12" s="41"/>
      <c r="R12" s="41"/>
      <c r="S12" s="42"/>
      <c r="T12" s="59"/>
      <c r="U12" s="42"/>
      <c r="V12" s="42"/>
      <c r="W12" s="42"/>
      <c r="X12" s="42"/>
      <c r="Y12" s="42"/>
      <c r="Z12" s="42"/>
      <c r="AA12" s="42"/>
      <c r="AB12" s="42"/>
      <c r="AC12" s="42"/>
      <c r="AD12" s="119" t="s">
        <v>234</v>
      </c>
    </row>
    <row r="13" spans="2:43">
      <c r="B13" s="58">
        <v>1</v>
      </c>
      <c r="C13" s="41" t="s">
        <v>48</v>
      </c>
      <c r="D13" s="42">
        <v>4</v>
      </c>
      <c r="E13" s="42">
        <v>1</v>
      </c>
      <c r="F13" s="42"/>
      <c r="G13" s="42"/>
      <c r="H13" s="58">
        <v>1</v>
      </c>
      <c r="I13" s="108" t="s">
        <v>167</v>
      </c>
      <c r="J13" s="41"/>
      <c r="K13" s="41"/>
      <c r="L13" s="42">
        <v>1</v>
      </c>
      <c r="M13" s="59"/>
      <c r="N13" s="42"/>
      <c r="O13" s="58"/>
      <c r="P13" s="108"/>
      <c r="Q13" s="41"/>
      <c r="R13" s="41"/>
      <c r="S13" s="42"/>
      <c r="T13" s="59"/>
      <c r="U13" s="42"/>
      <c r="V13" s="42"/>
      <c r="W13" s="42"/>
      <c r="X13" s="42"/>
      <c r="Y13" s="42"/>
      <c r="Z13" s="42"/>
      <c r="AA13" s="42"/>
      <c r="AB13" s="42"/>
      <c r="AC13" s="42"/>
      <c r="AD13" s="119" t="s">
        <v>237</v>
      </c>
    </row>
    <row r="14" spans="2:43">
      <c r="B14" s="58">
        <v>1</v>
      </c>
      <c r="C14" s="41" t="s">
        <v>49</v>
      </c>
      <c r="D14" s="42">
        <v>3</v>
      </c>
      <c r="E14" s="42">
        <v>1</v>
      </c>
      <c r="F14" s="42"/>
      <c r="G14" s="42"/>
      <c r="H14" s="58">
        <v>3</v>
      </c>
      <c r="I14" s="108" t="s">
        <v>168</v>
      </c>
      <c r="J14" s="41"/>
      <c r="K14" s="41"/>
      <c r="L14" s="42">
        <v>3</v>
      </c>
      <c r="M14" s="59"/>
      <c r="N14" s="42"/>
      <c r="O14" s="58"/>
      <c r="P14" s="108"/>
      <c r="Q14" s="41"/>
      <c r="R14" s="41"/>
      <c r="S14" s="42"/>
      <c r="T14" s="59"/>
      <c r="U14" s="42"/>
      <c r="V14" s="42"/>
      <c r="W14" s="42"/>
      <c r="X14" s="42"/>
      <c r="Y14" s="42"/>
      <c r="Z14" s="42"/>
      <c r="AA14" s="42"/>
      <c r="AB14" s="42"/>
      <c r="AC14" s="42"/>
      <c r="AD14" s="119" t="s">
        <v>224</v>
      </c>
    </row>
    <row r="15" spans="2:43">
      <c r="B15" s="58">
        <v>1</v>
      </c>
      <c r="C15" s="41" t="s">
        <v>50</v>
      </c>
      <c r="D15" s="42">
        <v>3</v>
      </c>
      <c r="E15" s="42">
        <v>1</v>
      </c>
      <c r="F15" s="42"/>
      <c r="G15" s="42"/>
      <c r="H15" s="58">
        <v>1</v>
      </c>
      <c r="I15" s="108" t="s">
        <v>169</v>
      </c>
      <c r="J15" s="41"/>
      <c r="K15" s="41"/>
      <c r="L15" s="42">
        <v>1</v>
      </c>
      <c r="M15" s="59"/>
      <c r="N15" s="42"/>
      <c r="O15" s="58"/>
      <c r="P15" s="108"/>
      <c r="Q15" s="41"/>
      <c r="R15" s="41"/>
      <c r="S15" s="42"/>
      <c r="T15" s="59"/>
      <c r="U15" s="42"/>
      <c r="V15" s="42"/>
      <c r="W15" s="42"/>
      <c r="X15" s="42"/>
      <c r="Y15" s="42"/>
      <c r="Z15" s="42"/>
      <c r="AA15" s="42"/>
      <c r="AB15" s="42"/>
      <c r="AC15" s="42"/>
      <c r="AD15" t="s">
        <v>244</v>
      </c>
    </row>
    <row r="16" spans="2:43">
      <c r="B16" s="58">
        <v>1</v>
      </c>
      <c r="C16" s="41" t="s">
        <v>51</v>
      </c>
      <c r="D16" s="42">
        <v>3</v>
      </c>
      <c r="E16" s="42">
        <v>1</v>
      </c>
      <c r="F16" s="42"/>
      <c r="G16" s="42"/>
      <c r="H16" s="58">
        <v>1</v>
      </c>
      <c r="I16" s="108" t="s">
        <v>243</v>
      </c>
      <c r="J16" s="41"/>
      <c r="K16" s="41"/>
      <c r="L16" s="42">
        <v>1</v>
      </c>
      <c r="M16" s="59"/>
      <c r="N16" s="42"/>
      <c r="O16" s="58"/>
      <c r="P16" s="41"/>
      <c r="Q16" s="41"/>
      <c r="R16" s="41"/>
      <c r="S16" s="42"/>
      <c r="T16" s="59"/>
      <c r="U16" s="42"/>
      <c r="V16" s="42"/>
      <c r="W16" s="42"/>
      <c r="X16" s="42"/>
      <c r="Y16" s="42"/>
      <c r="Z16" s="42"/>
      <c r="AA16" s="42"/>
      <c r="AB16" s="42"/>
      <c r="AC16" s="42"/>
      <c r="AD16" t="s">
        <v>232</v>
      </c>
      <c r="AQ16" s="61" t="str">
        <f>AQ10&amp;AO2</f>
        <v xml:space="preserve">Nombre d'objet construit  : 71 / 83 = 85,54 % </v>
      </c>
    </row>
    <row r="17" spans="2:43">
      <c r="B17" s="58">
        <v>1</v>
      </c>
      <c r="C17" s="41" t="s">
        <v>52</v>
      </c>
      <c r="D17" s="42">
        <v>3</v>
      </c>
      <c r="E17" s="42">
        <v>1</v>
      </c>
      <c r="F17" s="42"/>
      <c r="G17" s="42"/>
      <c r="H17" s="58">
        <v>3</v>
      </c>
      <c r="I17" s="108" t="s">
        <v>185</v>
      </c>
      <c r="J17" s="41"/>
      <c r="K17" s="41"/>
      <c r="L17" s="42">
        <v>3</v>
      </c>
      <c r="M17" s="59"/>
      <c r="N17" s="42"/>
      <c r="O17" s="58"/>
      <c r="P17" s="41"/>
      <c r="Q17" s="41"/>
      <c r="R17" s="41"/>
      <c r="S17" s="42"/>
      <c r="T17" s="59"/>
      <c r="U17" s="42"/>
      <c r="V17" s="42"/>
      <c r="W17" s="42"/>
      <c r="X17" s="42"/>
      <c r="Y17" s="42"/>
      <c r="Z17" s="42"/>
      <c r="AA17" s="42"/>
      <c r="AB17" s="42"/>
      <c r="AC17" s="42"/>
      <c r="AQ17" t="str">
        <f>AQ8</f>
        <v xml:space="preserve">Nombre d'objet Découvert ou Modifié : 42 / 83 = 50,6 % </v>
      </c>
    </row>
    <row r="18" spans="2:43">
      <c r="B18" s="58">
        <v>1</v>
      </c>
      <c r="C18" s="41" t="s">
        <v>55</v>
      </c>
      <c r="D18" s="42">
        <v>4</v>
      </c>
      <c r="E18" s="42">
        <v>1</v>
      </c>
      <c r="F18" s="42"/>
      <c r="G18" s="42"/>
      <c r="H18" s="92">
        <v>3</v>
      </c>
      <c r="I18" s="108" t="s">
        <v>240</v>
      </c>
      <c r="J18" s="3"/>
      <c r="K18" s="3"/>
      <c r="L18" s="3"/>
      <c r="M18" s="124"/>
      <c r="O18" s="58"/>
      <c r="P18" s="41"/>
      <c r="Q18" s="41"/>
      <c r="R18" s="42"/>
      <c r="S18" s="42"/>
      <c r="T18" s="100"/>
      <c r="U18" s="94"/>
      <c r="V18" s="94"/>
      <c r="W18" s="94"/>
      <c r="X18" s="94"/>
      <c r="Y18" s="94"/>
      <c r="Z18" s="94"/>
      <c r="AA18" s="94"/>
      <c r="AB18" s="94"/>
      <c r="AC18" s="94"/>
      <c r="AD18" s="119" t="s">
        <v>227</v>
      </c>
      <c r="AE18" t="str">
        <f>AD18</f>
        <v>Nombre d'idée annuelle en mathématiques</v>
      </c>
    </row>
    <row r="19" spans="2:43">
      <c r="B19" s="58"/>
      <c r="C19" s="110" t="s">
        <v>164</v>
      </c>
      <c r="D19" s="42">
        <v>4</v>
      </c>
      <c r="E19" s="42">
        <v>1</v>
      </c>
      <c r="F19" s="42"/>
      <c r="G19" s="42"/>
      <c r="H19" s="92"/>
      <c r="I19" s="110" t="s">
        <v>175</v>
      </c>
      <c r="J19" s="41"/>
      <c r="K19" s="42">
        <v>1</v>
      </c>
      <c r="L19" s="42"/>
      <c r="M19" s="100"/>
      <c r="N19" s="94"/>
      <c r="O19" s="58"/>
      <c r="P19" s="41"/>
      <c r="Q19" s="41"/>
      <c r="R19" s="42"/>
      <c r="S19" s="42"/>
      <c r="T19" s="59"/>
      <c r="U19" s="42"/>
      <c r="V19" s="42"/>
      <c r="W19" s="42"/>
      <c r="X19" s="42"/>
      <c r="Y19" s="42"/>
      <c r="Z19" s="42"/>
      <c r="AA19" s="42"/>
      <c r="AB19" s="42">
        <v>23</v>
      </c>
      <c r="AC19" s="42" t="s">
        <v>406</v>
      </c>
      <c r="AD19" s="119" t="s">
        <v>408</v>
      </c>
      <c r="AE19" t="str">
        <f>AD19&amp;AB19&amp;AC19</f>
        <v xml:space="preserve"> Mathématique annuelle :  23 Années</v>
      </c>
      <c r="AQ19" s="61" t="str">
        <f>AQ5</f>
        <v xml:space="preserve">Nombre d'objet découvert : 20 / 83 = 24,09 % </v>
      </c>
    </row>
    <row r="20" spans="2:43">
      <c r="B20" s="58">
        <v>1</v>
      </c>
      <c r="C20" s="41" t="s">
        <v>57</v>
      </c>
      <c r="D20" s="42">
        <v>5</v>
      </c>
      <c r="E20" s="42"/>
      <c r="F20" s="42">
        <v>1</v>
      </c>
      <c r="G20" s="42"/>
      <c r="H20" s="58">
        <v>1</v>
      </c>
      <c r="I20" s="41" t="s">
        <v>79</v>
      </c>
      <c r="J20" s="41"/>
      <c r="K20" s="42">
        <v>1</v>
      </c>
      <c r="L20" s="42"/>
      <c r="M20" s="59"/>
      <c r="N20" s="42"/>
      <c r="O20" s="58"/>
      <c r="P20" s="108"/>
      <c r="Q20" s="41"/>
      <c r="R20" s="42"/>
      <c r="S20" s="42"/>
      <c r="T20" s="59"/>
      <c r="U20" s="42"/>
      <c r="V20" s="42"/>
      <c r="W20" s="42"/>
      <c r="X20" s="42"/>
      <c r="Y20" s="42"/>
      <c r="Z20" s="42"/>
      <c r="AA20" s="42"/>
      <c r="AB20" s="42">
        <v>3</v>
      </c>
      <c r="AC20" s="42" t="s">
        <v>405</v>
      </c>
      <c r="AD20" s="119" t="s">
        <v>407</v>
      </c>
      <c r="AE20" t="str">
        <f>AB20&amp;AC20&amp;AD20</f>
        <v>3 Ans de mathématiques  semi professionnelle</v>
      </c>
      <c r="AQ20" s="61" t="str">
        <f>AQ6</f>
        <v xml:space="preserve">Nombre d'objet modifié :  22 / 83 = 26,5 % </v>
      </c>
    </row>
    <row r="21" spans="2:43">
      <c r="B21" s="58">
        <v>1</v>
      </c>
      <c r="C21" s="41" t="s">
        <v>58</v>
      </c>
      <c r="D21" s="42">
        <v>6</v>
      </c>
      <c r="E21" s="42">
        <v>1</v>
      </c>
      <c r="F21" s="42"/>
      <c r="G21" s="42"/>
      <c r="H21" s="58">
        <v>1</v>
      </c>
      <c r="I21" s="41" t="s">
        <v>80</v>
      </c>
      <c r="J21" s="41"/>
      <c r="K21" s="42">
        <v>1</v>
      </c>
      <c r="L21" s="42"/>
      <c r="M21" s="59"/>
      <c r="N21" s="42"/>
      <c r="O21" s="92"/>
      <c r="P21" s="3"/>
      <c r="Q21" s="41"/>
      <c r="R21" s="42"/>
      <c r="S21" s="42"/>
      <c r="T21" s="59"/>
      <c r="U21" s="42"/>
      <c r="V21" s="42"/>
      <c r="W21" s="42"/>
      <c r="X21" s="42"/>
      <c r="Y21" s="42"/>
      <c r="Z21" s="42"/>
      <c r="AA21" s="42"/>
      <c r="AB21" s="42">
        <v>7</v>
      </c>
      <c r="AC21" s="42" t="s">
        <v>406</v>
      </c>
      <c r="AD21" s="119" t="s">
        <v>409</v>
      </c>
      <c r="AE21" t="str">
        <f>AB21&amp;AC21&amp;AD21</f>
        <v>7 Annéesde formules modifiés</v>
      </c>
      <c r="AQ21" s="61" t="str">
        <f>AQ7</f>
        <v xml:space="preserve">Nombre d'objet tracé : 29 / 83 = 34,93 % </v>
      </c>
    </row>
    <row r="22" spans="2:43">
      <c r="B22" s="58">
        <v>1</v>
      </c>
      <c r="C22" s="41" t="s">
        <v>59</v>
      </c>
      <c r="D22" s="42">
        <v>8</v>
      </c>
      <c r="E22" s="42">
        <v>1</v>
      </c>
      <c r="F22" s="42"/>
      <c r="G22" s="42"/>
      <c r="H22" s="58">
        <v>1</v>
      </c>
      <c r="I22" s="41" t="s">
        <v>81</v>
      </c>
      <c r="J22" s="41"/>
      <c r="K22" s="42"/>
      <c r="L22" s="42"/>
      <c r="M22" s="59"/>
      <c r="N22" s="42"/>
      <c r="O22" s="92"/>
      <c r="P22" s="3"/>
      <c r="Q22" s="108"/>
      <c r="R22" s="42"/>
      <c r="S22" s="42"/>
      <c r="T22" s="59"/>
      <c r="U22" s="42"/>
      <c r="V22" s="42"/>
      <c r="W22" s="42"/>
      <c r="X22" s="42"/>
      <c r="Y22" s="42"/>
      <c r="Z22" s="42"/>
      <c r="AA22" s="42"/>
      <c r="AB22" s="42">
        <v>6</v>
      </c>
      <c r="AC22" s="42" t="s">
        <v>406</v>
      </c>
      <c r="AD22" s="119" t="s">
        <v>410</v>
      </c>
      <c r="AE22" t="str">
        <f>AB22&amp;AC22&amp;AD22</f>
        <v>6 Annéesde formules découvertes</v>
      </c>
    </row>
    <row r="23" spans="2:43">
      <c r="B23" s="58">
        <v>1</v>
      </c>
      <c r="C23" s="41" t="s">
        <v>60</v>
      </c>
      <c r="D23" s="42">
        <v>10</v>
      </c>
      <c r="E23" s="42"/>
      <c r="F23" s="42"/>
      <c r="G23" s="42">
        <v>1</v>
      </c>
      <c r="H23" s="58">
        <v>1</v>
      </c>
      <c r="I23" s="41" t="s">
        <v>82</v>
      </c>
      <c r="J23" s="108"/>
      <c r="K23" s="42"/>
      <c r="L23" s="42"/>
      <c r="M23" s="59"/>
      <c r="N23" s="42"/>
      <c r="O23" s="92"/>
      <c r="P23" s="3"/>
      <c r="Q23" s="3"/>
      <c r="R23" s="3"/>
      <c r="S23" s="3"/>
      <c r="T23" s="93"/>
      <c r="U23" s="4"/>
      <c r="V23" s="287"/>
      <c r="W23" s="287"/>
      <c r="X23" s="287"/>
      <c r="Y23" s="287"/>
      <c r="Z23" s="287"/>
      <c r="AA23" s="287"/>
      <c r="AB23" s="287"/>
      <c r="AC23" s="287"/>
      <c r="AD23" s="117" t="s">
        <v>228</v>
      </c>
    </row>
    <row r="24" spans="2:43">
      <c r="B24" s="58">
        <v>1</v>
      </c>
      <c r="C24" s="41" t="s">
        <v>61</v>
      </c>
      <c r="D24" s="42">
        <v>12</v>
      </c>
      <c r="E24" s="42"/>
      <c r="F24" s="42"/>
      <c r="G24" s="94">
        <v>1</v>
      </c>
      <c r="H24" s="92"/>
      <c r="I24" s="110" t="s">
        <v>157</v>
      </c>
      <c r="J24" s="3"/>
      <c r="K24" s="3"/>
      <c r="L24" s="3"/>
      <c r="M24" s="93"/>
      <c r="N24" s="4"/>
      <c r="O24" s="92"/>
      <c r="P24" s="3"/>
      <c r="Q24" s="41"/>
      <c r="R24" s="42"/>
      <c r="S24" s="42"/>
      <c r="T24" s="59"/>
      <c r="U24" s="42"/>
      <c r="V24" s="42"/>
      <c r="W24" s="42"/>
      <c r="X24" s="42"/>
      <c r="Y24" s="42"/>
      <c r="Z24" s="42"/>
      <c r="AA24" s="42"/>
      <c r="AB24" s="42"/>
      <c r="AC24" s="42"/>
      <c r="AD24" s="117" t="s">
        <v>229</v>
      </c>
    </row>
    <row r="25" spans="2:43">
      <c r="B25" s="58">
        <v>1</v>
      </c>
      <c r="C25" s="41" t="s">
        <v>62</v>
      </c>
      <c r="D25" s="42">
        <v>15</v>
      </c>
      <c r="E25" s="42"/>
      <c r="F25" s="42"/>
      <c r="G25" s="94">
        <v>1</v>
      </c>
      <c r="H25" s="58">
        <v>1</v>
      </c>
      <c r="I25" s="41" t="s">
        <v>94</v>
      </c>
      <c r="J25" s="41"/>
      <c r="K25" s="42"/>
      <c r="L25" s="42"/>
      <c r="M25" s="59"/>
      <c r="N25" s="42"/>
      <c r="O25" s="58"/>
      <c r="P25" s="41"/>
      <c r="Q25" s="41"/>
      <c r="R25" s="42"/>
      <c r="S25" s="42"/>
      <c r="T25" s="59"/>
      <c r="U25" s="42"/>
      <c r="V25" s="42"/>
      <c r="W25" s="42"/>
      <c r="X25" s="42"/>
      <c r="Y25" s="42"/>
      <c r="Z25" s="42"/>
      <c r="AA25" s="42"/>
      <c r="AB25" s="42"/>
      <c r="AC25" s="42"/>
      <c r="AD25" t="s">
        <v>235</v>
      </c>
    </row>
    <row r="26" spans="2:43">
      <c r="B26" s="58">
        <v>1</v>
      </c>
      <c r="C26" s="41" t="s">
        <v>63</v>
      </c>
      <c r="D26" s="42">
        <v>16</v>
      </c>
      <c r="E26" s="42"/>
      <c r="F26" s="42"/>
      <c r="G26" s="94">
        <v>1</v>
      </c>
      <c r="H26" s="58">
        <v>1</v>
      </c>
      <c r="I26" s="41" t="s">
        <v>83</v>
      </c>
      <c r="J26" s="41"/>
      <c r="K26" s="42"/>
      <c r="L26" s="42"/>
      <c r="M26" s="59"/>
      <c r="N26" s="42"/>
      <c r="O26" s="58"/>
      <c r="P26" s="41"/>
      <c r="Q26" s="41"/>
      <c r="R26" s="42"/>
      <c r="S26" s="42"/>
      <c r="T26" s="100"/>
      <c r="U26" s="94"/>
      <c r="V26" s="94"/>
      <c r="W26" s="94"/>
      <c r="X26" s="94"/>
      <c r="Y26" s="94"/>
      <c r="Z26" s="94"/>
      <c r="AA26" s="94"/>
      <c r="AB26" s="94"/>
      <c r="AC26" s="94"/>
    </row>
    <row r="27" spans="2:43">
      <c r="B27" s="58">
        <v>1</v>
      </c>
      <c r="C27" s="41" t="s">
        <v>64</v>
      </c>
      <c r="D27" s="42">
        <v>18</v>
      </c>
      <c r="E27" s="42"/>
      <c r="F27" s="42"/>
      <c r="G27" s="94">
        <v>1</v>
      </c>
      <c r="H27" s="58">
        <v>2</v>
      </c>
      <c r="I27" s="108" t="s">
        <v>159</v>
      </c>
      <c r="J27" s="41"/>
      <c r="K27" s="42"/>
      <c r="L27" s="42"/>
      <c r="M27" s="100">
        <v>1</v>
      </c>
      <c r="N27" s="94"/>
      <c r="O27" s="58"/>
      <c r="P27" s="110"/>
      <c r="Q27" s="108"/>
      <c r="R27" s="42"/>
      <c r="S27" s="42"/>
      <c r="T27" s="59"/>
      <c r="U27" s="42"/>
      <c r="V27" s="42"/>
      <c r="W27" s="42"/>
      <c r="X27" s="42"/>
      <c r="Y27" s="42"/>
      <c r="Z27" s="42"/>
      <c r="AA27" s="42"/>
      <c r="AB27" s="42"/>
      <c r="AC27" s="42"/>
    </row>
    <row r="28" spans="2:43">
      <c r="B28" s="58"/>
      <c r="C28" s="110" t="s">
        <v>242</v>
      </c>
      <c r="D28" s="41"/>
      <c r="E28" s="42"/>
      <c r="F28" s="42"/>
      <c r="G28" s="42"/>
      <c r="H28" s="58">
        <v>1</v>
      </c>
      <c r="I28" s="108" t="s">
        <v>160</v>
      </c>
      <c r="J28" s="108"/>
      <c r="K28" s="42"/>
      <c r="L28" s="42"/>
      <c r="M28" s="59"/>
      <c r="N28" s="42"/>
      <c r="O28" s="58"/>
      <c r="P28" s="41"/>
      <c r="Q28" s="41"/>
      <c r="R28" s="42"/>
      <c r="S28" s="42"/>
      <c r="T28" s="59"/>
      <c r="U28" s="42"/>
      <c r="V28" s="42"/>
      <c r="W28" s="42"/>
      <c r="X28" s="42"/>
      <c r="Y28" s="42"/>
      <c r="Z28" s="42"/>
      <c r="AA28" s="42"/>
      <c r="AB28" s="42"/>
      <c r="AC28" s="42"/>
    </row>
    <row r="29" spans="2:43">
      <c r="B29" s="58">
        <v>1</v>
      </c>
      <c r="C29" s="41" t="s">
        <v>162</v>
      </c>
      <c r="D29" s="94"/>
      <c r="E29" s="42"/>
      <c r="F29" s="42">
        <v>1</v>
      </c>
      <c r="G29" s="111"/>
      <c r="H29" s="58">
        <v>1</v>
      </c>
      <c r="I29" s="41" t="s">
        <v>78</v>
      </c>
      <c r="J29" s="41"/>
      <c r="K29" s="42">
        <v>1</v>
      </c>
      <c r="L29" s="42"/>
      <c r="M29" s="59"/>
      <c r="N29" s="42"/>
      <c r="O29" s="58"/>
      <c r="P29" s="41"/>
      <c r="Q29" s="41"/>
      <c r="R29" s="42"/>
      <c r="S29" s="42"/>
      <c r="T29" s="59"/>
      <c r="U29" s="42"/>
      <c r="V29" s="42"/>
      <c r="W29" s="42"/>
      <c r="X29" s="42"/>
      <c r="Y29" s="42"/>
      <c r="Z29" s="42"/>
      <c r="AA29" s="42"/>
      <c r="AB29" s="42"/>
      <c r="AC29" s="42"/>
    </row>
    <row r="30" spans="2:43">
      <c r="B30" s="58">
        <v>2</v>
      </c>
      <c r="C30" s="41" t="s">
        <v>65</v>
      </c>
      <c r="D30" s="94">
        <v>1</v>
      </c>
      <c r="E30" s="42"/>
      <c r="F30" s="42">
        <v>1</v>
      </c>
      <c r="G30" s="42">
        <v>1</v>
      </c>
      <c r="H30" s="58">
        <v>1</v>
      </c>
      <c r="I30" s="41" t="s">
        <v>70</v>
      </c>
      <c r="J30" s="41"/>
      <c r="K30" s="42">
        <v>1</v>
      </c>
      <c r="L30" s="42"/>
      <c r="M30" s="59"/>
      <c r="N30" s="42"/>
      <c r="O30" s="58"/>
      <c r="P30" s="108"/>
      <c r="Q30" s="108"/>
      <c r="R30" s="42"/>
      <c r="S30" s="42"/>
      <c r="T30" s="59"/>
      <c r="U30" s="42"/>
      <c r="V30" s="42"/>
      <c r="W30" s="42"/>
      <c r="X30" s="42"/>
      <c r="Y30" s="42"/>
      <c r="Z30" s="42"/>
      <c r="AA30" s="42"/>
      <c r="AB30" s="42"/>
      <c r="AC30" s="42"/>
    </row>
    <row r="31" spans="2:43">
      <c r="B31" s="58">
        <v>1</v>
      </c>
      <c r="C31" s="41" t="s">
        <v>66</v>
      </c>
      <c r="D31" s="94">
        <v>360</v>
      </c>
      <c r="E31" s="42"/>
      <c r="F31" s="42">
        <v>1</v>
      </c>
      <c r="G31" s="42">
        <v>1</v>
      </c>
      <c r="H31" s="58">
        <v>1</v>
      </c>
      <c r="I31" s="41" t="s">
        <v>71</v>
      </c>
      <c r="J31" s="108"/>
      <c r="K31" s="42"/>
      <c r="L31" s="42">
        <v>1</v>
      </c>
      <c r="M31" s="59"/>
      <c r="N31" s="42"/>
      <c r="O31" s="58"/>
      <c r="P31" s="108"/>
      <c r="Q31" s="108"/>
      <c r="R31" s="42"/>
      <c r="S31" s="42"/>
      <c r="T31" s="59"/>
      <c r="U31" s="42"/>
      <c r="V31" s="42"/>
      <c r="W31" s="42"/>
      <c r="X31" s="42"/>
      <c r="Y31" s="42"/>
      <c r="Z31" s="42"/>
      <c r="AA31" s="42"/>
      <c r="AB31" s="42"/>
      <c r="AC31" s="42"/>
    </row>
    <row r="32" spans="2:43">
      <c r="B32" s="58">
        <v>1</v>
      </c>
      <c r="C32" s="41" t="s">
        <v>68</v>
      </c>
      <c r="D32" s="42">
        <v>9</v>
      </c>
      <c r="E32" s="42"/>
      <c r="F32" s="42">
        <v>1</v>
      </c>
      <c r="G32" s="42"/>
      <c r="H32" s="92"/>
      <c r="I32" s="3"/>
      <c r="J32" s="108"/>
      <c r="K32" s="42"/>
      <c r="L32" s="42">
        <v>1</v>
      </c>
      <c r="M32" s="59"/>
      <c r="N32" s="42"/>
      <c r="O32" s="58"/>
      <c r="P32" s="41"/>
      <c r="Q32" s="41"/>
      <c r="R32" s="42"/>
      <c r="S32" s="42"/>
      <c r="T32" s="59"/>
      <c r="U32" s="42"/>
      <c r="V32" s="42"/>
      <c r="W32" s="42"/>
      <c r="X32" s="42"/>
      <c r="Y32" s="42"/>
      <c r="Z32" s="42"/>
      <c r="AA32" s="42"/>
      <c r="AB32" s="42"/>
      <c r="AC32" s="42"/>
      <c r="AD32" s="117"/>
    </row>
    <row r="33" spans="2:30">
      <c r="B33" s="58">
        <v>1</v>
      </c>
      <c r="C33" s="41" t="s">
        <v>67</v>
      </c>
      <c r="D33" s="42">
        <v>20</v>
      </c>
      <c r="E33" s="42"/>
      <c r="F33" s="42">
        <v>1</v>
      </c>
      <c r="G33" s="94"/>
      <c r="H33" s="58">
        <v>1</v>
      </c>
      <c r="I33" s="41" t="s">
        <v>75</v>
      </c>
      <c r="J33" s="41"/>
      <c r="K33" s="42"/>
      <c r="L33" s="42"/>
      <c r="M33" s="59"/>
      <c r="N33" s="42"/>
      <c r="O33" s="58"/>
      <c r="P33" s="110"/>
      <c r="Q33" s="108"/>
      <c r="R33" s="42"/>
      <c r="S33" s="42"/>
      <c r="T33" s="59"/>
      <c r="U33" s="42"/>
      <c r="V33" s="42"/>
      <c r="W33" s="42"/>
      <c r="X33" s="42"/>
      <c r="Y33" s="42"/>
      <c r="Z33" s="42"/>
      <c r="AA33" s="42"/>
      <c r="AB33" s="42"/>
      <c r="AC33" s="42"/>
      <c r="AD33" s="117"/>
    </row>
    <row r="34" spans="2:30">
      <c r="B34" s="58">
        <v>1</v>
      </c>
      <c r="C34" s="41" t="s">
        <v>239</v>
      </c>
      <c r="D34" s="42"/>
      <c r="E34" s="42">
        <v>1</v>
      </c>
      <c r="F34" s="42"/>
      <c r="G34" s="42"/>
      <c r="H34" s="58"/>
      <c r="I34" s="110" t="s">
        <v>158</v>
      </c>
      <c r="J34" s="108"/>
      <c r="K34" s="42"/>
      <c r="L34" s="42"/>
      <c r="M34" s="59"/>
      <c r="N34" s="42"/>
      <c r="O34" s="58"/>
      <c r="P34" s="41"/>
      <c r="Q34" s="41"/>
      <c r="R34" s="42"/>
      <c r="S34" s="42"/>
      <c r="T34" s="100"/>
      <c r="U34" s="94"/>
      <c r="V34" s="94"/>
      <c r="W34" s="94"/>
      <c r="X34" s="94"/>
      <c r="Y34" s="94"/>
      <c r="Z34" s="94"/>
      <c r="AA34" s="94"/>
      <c r="AB34" s="94"/>
      <c r="AC34" s="94"/>
      <c r="AD34" s="120"/>
    </row>
    <row r="35" spans="2:30">
      <c r="B35" s="58">
        <v>1</v>
      </c>
      <c r="C35" s="41" t="s">
        <v>238</v>
      </c>
      <c r="D35" s="42"/>
      <c r="E35" s="42"/>
      <c r="F35" s="42"/>
      <c r="G35" s="42">
        <v>1</v>
      </c>
      <c r="H35" s="58">
        <v>1</v>
      </c>
      <c r="I35" s="41" t="s">
        <v>76</v>
      </c>
      <c r="J35" s="41"/>
      <c r="K35" s="42"/>
      <c r="L35" s="42"/>
      <c r="M35" s="100"/>
      <c r="N35" s="94"/>
      <c r="O35" s="58"/>
      <c r="P35" s="41"/>
      <c r="Q35" s="41"/>
      <c r="R35" s="42"/>
      <c r="S35" s="42"/>
      <c r="T35" s="100"/>
      <c r="U35" s="94"/>
      <c r="V35" s="94"/>
      <c r="W35" s="94"/>
      <c r="X35" s="94"/>
      <c r="Y35" s="94"/>
      <c r="Z35" s="94"/>
      <c r="AA35" s="94"/>
      <c r="AB35" s="94"/>
      <c r="AC35" s="94"/>
      <c r="AD35" s="120"/>
    </row>
    <row r="36" spans="2:30">
      <c r="B36" s="58">
        <v>1</v>
      </c>
      <c r="C36" s="41" t="s">
        <v>187</v>
      </c>
      <c r="D36" s="42"/>
      <c r="E36" s="42">
        <v>1</v>
      </c>
      <c r="F36" s="42"/>
      <c r="G36" s="94"/>
      <c r="H36" s="58">
        <v>1</v>
      </c>
      <c r="I36" s="41" t="s">
        <v>77</v>
      </c>
      <c r="J36" s="41"/>
      <c r="K36" s="42"/>
      <c r="L36" s="42"/>
      <c r="M36" s="100"/>
      <c r="N36" s="94"/>
      <c r="O36" s="58"/>
      <c r="P36" s="41"/>
      <c r="Q36" s="41"/>
      <c r="R36" s="42"/>
      <c r="S36" s="42"/>
      <c r="T36" s="100"/>
      <c r="U36" s="94"/>
      <c r="V36" s="94"/>
      <c r="W36" s="94"/>
      <c r="X36" s="94"/>
      <c r="Y36" s="94"/>
      <c r="Z36" s="94"/>
      <c r="AA36" s="94"/>
      <c r="AB36" s="94"/>
      <c r="AC36" s="94"/>
      <c r="AD36" s="120"/>
    </row>
    <row r="37" spans="2:30">
      <c r="B37" s="58">
        <v>1</v>
      </c>
      <c r="C37" s="108" t="s">
        <v>188</v>
      </c>
      <c r="D37" s="42"/>
      <c r="E37" s="42"/>
      <c r="F37" s="42"/>
      <c r="G37" s="94">
        <v>1</v>
      </c>
      <c r="H37" s="58">
        <v>1</v>
      </c>
      <c r="I37" s="41" t="s">
        <v>72</v>
      </c>
      <c r="J37" s="41"/>
      <c r="K37" s="42"/>
      <c r="L37" s="42"/>
      <c r="M37" s="100"/>
      <c r="N37" s="94"/>
      <c r="O37" s="58"/>
      <c r="P37" s="41"/>
      <c r="Q37" s="41"/>
      <c r="R37" s="42"/>
      <c r="S37" s="42"/>
      <c r="T37" s="59"/>
      <c r="U37" s="42"/>
      <c r="V37" s="42"/>
      <c r="W37" s="42"/>
      <c r="X37" s="42"/>
      <c r="Y37" s="42"/>
      <c r="Z37" s="42"/>
      <c r="AA37" s="42"/>
      <c r="AB37" s="42"/>
      <c r="AC37" s="42"/>
      <c r="AD37" s="117"/>
    </row>
    <row r="38" spans="2:30">
      <c r="B38" s="58">
        <v>1</v>
      </c>
      <c r="C38" s="41" t="s">
        <v>189</v>
      </c>
      <c r="D38" s="41"/>
      <c r="E38" s="42"/>
      <c r="F38" s="42"/>
      <c r="G38" s="42">
        <v>1</v>
      </c>
      <c r="H38" s="58">
        <v>1</v>
      </c>
      <c r="I38" s="41" t="s">
        <v>73</v>
      </c>
      <c r="J38" s="41"/>
      <c r="K38" s="42"/>
      <c r="L38" s="42"/>
      <c r="M38" s="59"/>
      <c r="N38" s="42"/>
      <c r="O38" s="58"/>
      <c r="P38" s="41"/>
      <c r="Q38" s="41"/>
      <c r="R38" s="42"/>
      <c r="S38" s="42"/>
      <c r="T38" s="59"/>
      <c r="U38" s="42"/>
      <c r="V38" s="42"/>
      <c r="W38" s="42"/>
      <c r="X38" s="42"/>
      <c r="Y38" s="42"/>
      <c r="Z38" s="42"/>
      <c r="AA38" s="42"/>
      <c r="AB38" s="42"/>
      <c r="AC38" s="42"/>
      <c r="AD38" s="117"/>
    </row>
    <row r="39" spans="2:30">
      <c r="B39" s="58">
        <v>1</v>
      </c>
      <c r="C39" s="41" t="s">
        <v>241</v>
      </c>
      <c r="D39" s="41"/>
      <c r="E39" s="42"/>
      <c r="F39" s="42"/>
      <c r="G39" s="42"/>
      <c r="H39" s="95">
        <v>1</v>
      </c>
      <c r="I39" s="45" t="s">
        <v>74</v>
      </c>
      <c r="J39" s="45"/>
      <c r="K39" s="46"/>
      <c r="L39" s="46"/>
      <c r="M39" s="56"/>
      <c r="N39" s="42"/>
      <c r="O39" s="112"/>
      <c r="P39" s="113"/>
      <c r="Q39" s="45"/>
      <c r="R39" s="46"/>
      <c r="S39" s="46"/>
      <c r="T39" s="56"/>
      <c r="U39" s="42"/>
      <c r="V39" s="285" t="s">
        <v>171</v>
      </c>
      <c r="W39" s="289" t="s">
        <v>401</v>
      </c>
      <c r="X39" s="284" t="s">
        <v>163</v>
      </c>
      <c r="Y39" s="42"/>
      <c r="Z39" s="464" t="s">
        <v>402</v>
      </c>
      <c r="AA39" s="462"/>
      <c r="AB39" s="463"/>
      <c r="AC39" s="42"/>
      <c r="AD39" s="117"/>
    </row>
    <row r="40" spans="2:30" ht="9.9499999999999993" customHeight="1">
      <c r="B40" s="35"/>
      <c r="C40" s="101"/>
      <c r="D40" s="101"/>
      <c r="E40" s="158"/>
      <c r="F40" s="158"/>
      <c r="G40" s="159"/>
      <c r="H40" s="42"/>
      <c r="I40" s="41"/>
      <c r="J40" s="41"/>
      <c r="K40" s="42"/>
      <c r="L40" s="42"/>
      <c r="M40" s="59"/>
      <c r="N40" s="42"/>
      <c r="O40" s="92"/>
      <c r="P40" s="3"/>
      <c r="Q40" s="41"/>
      <c r="R40" s="42"/>
      <c r="S40" s="42"/>
      <c r="T40" s="59"/>
      <c r="U40" s="42"/>
      <c r="V40" s="42"/>
      <c r="W40" s="42"/>
      <c r="X40" s="42"/>
      <c r="Y40" s="42"/>
      <c r="Z40" s="42"/>
      <c r="AA40" s="42"/>
      <c r="AB40" s="42"/>
      <c r="AC40" s="42"/>
      <c r="AD40" s="117"/>
    </row>
    <row r="41" spans="2:30">
      <c r="B41" s="35">
        <f>SUM(B4:B39)</f>
        <v>34</v>
      </c>
      <c r="C41" s="101"/>
      <c r="D41" s="101"/>
      <c r="E41" s="158">
        <f>SUM(E4:E39)</f>
        <v>19</v>
      </c>
      <c r="F41" s="158">
        <f>SUM(F4:F39)</f>
        <v>6</v>
      </c>
      <c r="G41" s="159">
        <f>SUM(G4:G39)</f>
        <v>10</v>
      </c>
      <c r="H41" s="158">
        <f>SUM(H4:H39)</f>
        <v>41</v>
      </c>
      <c r="I41" s="158"/>
      <c r="J41" s="101"/>
      <c r="K41" s="158">
        <f>SUM(K4:K39)</f>
        <v>10</v>
      </c>
      <c r="L41" s="158">
        <f>SUM(L4:L39)</f>
        <v>14</v>
      </c>
      <c r="M41" s="159">
        <f>SUM(M4:M39)</f>
        <v>4</v>
      </c>
      <c r="N41" s="158"/>
      <c r="O41" s="35">
        <f>SUM(O4:O39)</f>
        <v>8</v>
      </c>
      <c r="P41" s="158"/>
      <c r="Q41" s="101"/>
      <c r="R41" s="158">
        <f>SUM(R4:R39)</f>
        <v>0</v>
      </c>
      <c r="S41" s="158">
        <f>SUM(S4:S39)</f>
        <v>2</v>
      </c>
      <c r="T41" s="159">
        <f>SUM(T4:T39)</f>
        <v>6</v>
      </c>
      <c r="U41" s="42"/>
      <c r="V41" s="223">
        <f>R59</f>
        <v>29</v>
      </c>
      <c r="W41" s="286">
        <f>S59</f>
        <v>22</v>
      </c>
      <c r="X41" s="177">
        <f>T59</f>
        <v>20</v>
      </c>
      <c r="Y41" s="287"/>
      <c r="Z41" s="223">
        <f>R62</f>
        <v>34</v>
      </c>
      <c r="AA41" s="286">
        <f>S62</f>
        <v>41</v>
      </c>
      <c r="AB41" s="177">
        <f>T62</f>
        <v>8</v>
      </c>
      <c r="AC41" s="287"/>
      <c r="AD41" s="117"/>
    </row>
    <row r="42" spans="2:30">
      <c r="B42" s="58"/>
      <c r="C42" s="102" t="s">
        <v>27</v>
      </c>
      <c r="D42" s="42" t="s">
        <v>171</v>
      </c>
      <c r="E42" s="114" t="s">
        <v>138</v>
      </c>
      <c r="F42" s="42" t="s">
        <v>137</v>
      </c>
      <c r="G42" s="59" t="s">
        <v>172</v>
      </c>
      <c r="H42" s="42">
        <f>B41+H41</f>
        <v>75</v>
      </c>
      <c r="I42" s="102" t="str">
        <f>C42</f>
        <v>Σ</v>
      </c>
      <c r="J42" s="102" t="str">
        <f>D42</f>
        <v>Σ T</v>
      </c>
      <c r="K42" s="102" t="str">
        <f>E42</f>
        <v>1/2 D</v>
      </c>
      <c r="L42" s="102" t="str">
        <f>F42</f>
        <v>D</v>
      </c>
      <c r="M42" s="104" t="s">
        <v>173</v>
      </c>
      <c r="N42" s="102"/>
      <c r="O42" s="58">
        <f>H42+O41</f>
        <v>83</v>
      </c>
      <c r="P42" s="102"/>
      <c r="Q42" s="102"/>
      <c r="R42" s="102"/>
      <c r="S42" s="102"/>
      <c r="T42" s="104"/>
      <c r="U42" s="102"/>
      <c r="V42" s="476">
        <f>V41+W41+X41</f>
        <v>71</v>
      </c>
      <c r="W42" s="477"/>
      <c r="X42" s="478"/>
      <c r="Y42" s="292"/>
      <c r="Z42" s="476">
        <f>Z41+AA41+AB41</f>
        <v>83</v>
      </c>
      <c r="AA42" s="477"/>
      <c r="AB42" s="478"/>
      <c r="AC42" s="290"/>
      <c r="AD42" s="120"/>
    </row>
    <row r="43" spans="2:30">
      <c r="B43" s="95"/>
      <c r="C43" s="103">
        <f>O42</f>
        <v>83</v>
      </c>
      <c r="D43" s="46">
        <f>E41+K41+R41</f>
        <v>29</v>
      </c>
      <c r="E43" s="46">
        <f>F41+L41+S41</f>
        <v>22</v>
      </c>
      <c r="F43" s="46">
        <f>G41+M41+T41</f>
        <v>20</v>
      </c>
      <c r="G43" s="56">
        <f>E43+F43</f>
        <v>42</v>
      </c>
      <c r="H43" s="46">
        <v>1</v>
      </c>
      <c r="I43" s="109">
        <f>C43/H42</f>
        <v>1.1066666666666667</v>
      </c>
      <c r="J43" s="57">
        <f>D43/H42</f>
        <v>0.38666666666666666</v>
      </c>
      <c r="K43" s="57">
        <f>E43/H42</f>
        <v>0.29333333333333333</v>
      </c>
      <c r="L43" s="57">
        <f>F43/H42</f>
        <v>0.26666666666666666</v>
      </c>
      <c r="M43" s="60">
        <f>G43/H42</f>
        <v>0.56000000000000005</v>
      </c>
      <c r="N43" s="57"/>
      <c r="O43" s="95">
        <v>1</v>
      </c>
      <c r="P43" s="109"/>
      <c r="Q43" s="57"/>
      <c r="R43" s="57"/>
      <c r="S43" s="57"/>
      <c r="T43" s="60"/>
      <c r="U43" s="116"/>
      <c r="V43" s="188"/>
      <c r="W43" s="479">
        <f>W41+X41</f>
        <v>42</v>
      </c>
      <c r="X43" s="480"/>
      <c r="Y43" s="292"/>
      <c r="Z43" s="188"/>
      <c r="AA43" s="479"/>
      <c r="AB43" s="480"/>
      <c r="AC43" s="291"/>
      <c r="AD43" s="293"/>
    </row>
    <row r="44" spans="2:30" ht="9.9499999999999993" customHeight="1">
      <c r="D44" s="1"/>
      <c r="I44" s="1"/>
      <c r="J44" s="1"/>
      <c r="K44" s="1"/>
      <c r="L44" s="1"/>
      <c r="M44" s="1"/>
      <c r="N44" s="4"/>
      <c r="P44" s="1"/>
      <c r="Q44" s="1"/>
      <c r="R44" s="1"/>
      <c r="S44" s="1"/>
      <c r="T44" s="1"/>
      <c r="U44" s="1"/>
      <c r="V44" s="288"/>
      <c r="W44" s="288"/>
      <c r="X44" s="288"/>
      <c r="Y44" s="288"/>
      <c r="Z44" s="288"/>
      <c r="AA44" s="288"/>
      <c r="AB44" s="288"/>
      <c r="AC44" s="288"/>
    </row>
    <row r="45" spans="2:30">
      <c r="C45" s="184"/>
      <c r="D45" s="232"/>
      <c r="E45" s="408"/>
      <c r="F45" s="408"/>
      <c r="G45" s="177"/>
      <c r="H45" s="409"/>
      <c r="I45" s="184" t="str">
        <f>AQ5</f>
        <v xml:space="preserve">Nombre d'objet découvert : 20 / 83 = 24,09 % </v>
      </c>
      <c r="J45" s="232"/>
      <c r="K45" s="232"/>
      <c r="L45" s="232"/>
      <c r="M45" s="236"/>
      <c r="O45" s="223"/>
      <c r="P45" s="232"/>
      <c r="Q45" s="232"/>
      <c r="R45" s="232"/>
      <c r="S45" s="232"/>
      <c r="T45" s="236"/>
      <c r="Y45" s="3"/>
    </row>
    <row r="46" spans="2:30">
      <c r="C46" s="187"/>
      <c r="D46" s="3"/>
      <c r="E46" s="409"/>
      <c r="F46" s="409"/>
      <c r="G46" s="93"/>
      <c r="H46" s="409"/>
      <c r="I46" s="187" t="str">
        <f>AQ6</f>
        <v xml:space="preserve">Nombre d'objet modifié :  22 / 83 = 26,5 % </v>
      </c>
      <c r="J46" s="3"/>
      <c r="K46" s="3"/>
      <c r="L46" s="3"/>
      <c r="M46" s="124"/>
      <c r="O46" s="92"/>
      <c r="P46" s="3"/>
      <c r="Q46" s="3"/>
      <c r="R46" s="3"/>
      <c r="S46" s="3"/>
      <c r="T46" s="124"/>
      <c r="Y46" s="287"/>
    </row>
    <row r="47" spans="2:30">
      <c r="C47" s="187"/>
      <c r="D47" s="3"/>
      <c r="E47" s="409"/>
      <c r="F47" s="409"/>
      <c r="G47" s="93"/>
      <c r="H47" s="409"/>
      <c r="I47" s="187" t="str">
        <f>AQ7</f>
        <v xml:space="preserve">Nombre d'objet tracé : 29 / 83 = 34,93 % </v>
      </c>
      <c r="J47" s="3"/>
      <c r="K47" s="3"/>
      <c r="L47" s="3"/>
      <c r="M47" s="124"/>
      <c r="O47" s="92"/>
      <c r="P47" s="3"/>
      <c r="Q47" s="3"/>
      <c r="R47" s="3"/>
      <c r="S47" s="3"/>
      <c r="T47" s="124"/>
    </row>
    <row r="48" spans="2:30">
      <c r="C48" s="188"/>
      <c r="D48" s="113"/>
      <c r="E48" s="209"/>
      <c r="F48" s="209"/>
      <c r="G48" s="178"/>
      <c r="H48" s="409"/>
      <c r="I48" s="188" t="str">
        <f>AQ8</f>
        <v xml:space="preserve">Nombre d'objet Découvert ou Modifié : 42 / 83 = 50,6 % </v>
      </c>
      <c r="J48" s="113"/>
      <c r="K48" s="113"/>
      <c r="L48" s="113"/>
      <c r="M48" s="235"/>
      <c r="O48" s="112"/>
      <c r="P48" s="113"/>
      <c r="Q48" s="113"/>
      <c r="R48" s="113"/>
      <c r="S48" s="113"/>
      <c r="T48" s="235"/>
    </row>
    <row r="55" spans="2:23">
      <c r="I55" s="61"/>
      <c r="P55" s="61"/>
      <c r="R55" s="42" t="s">
        <v>171</v>
      </c>
      <c r="S55" s="114" t="s">
        <v>401</v>
      </c>
      <c r="T55" s="42" t="s">
        <v>163</v>
      </c>
    </row>
    <row r="56" spans="2:23">
      <c r="I56" s="61"/>
      <c r="P56" s="61"/>
      <c r="R56" s="42">
        <f>E41</f>
        <v>19</v>
      </c>
      <c r="S56" s="42">
        <f>F41</f>
        <v>6</v>
      </c>
      <c r="T56" s="42">
        <f>G41</f>
        <v>10</v>
      </c>
    </row>
    <row r="57" spans="2:23">
      <c r="R57" s="42">
        <f>K41</f>
        <v>10</v>
      </c>
      <c r="S57" s="42">
        <f>L41</f>
        <v>14</v>
      </c>
      <c r="T57" s="42">
        <f>M41</f>
        <v>4</v>
      </c>
    </row>
    <row r="58" spans="2:23">
      <c r="I58" s="61"/>
      <c r="P58" s="61"/>
      <c r="R58" s="42">
        <f>R41</f>
        <v>0</v>
      </c>
      <c r="S58" s="42">
        <f>S41</f>
        <v>2</v>
      </c>
      <c r="T58" s="42">
        <f>T41</f>
        <v>6</v>
      </c>
    </row>
    <row r="59" spans="2:23">
      <c r="I59" s="61"/>
      <c r="P59" s="61"/>
      <c r="R59" s="271">
        <f>R56+R57+R58</f>
        <v>29</v>
      </c>
      <c r="S59" s="271">
        <f t="shared" ref="S59:T59" si="4">S56+S57+S58</f>
        <v>22</v>
      </c>
      <c r="T59" s="271">
        <f t="shared" si="4"/>
        <v>20</v>
      </c>
      <c r="V59">
        <f>R59+S59+T59</f>
        <v>71</v>
      </c>
    </row>
    <row r="60" spans="2:23">
      <c r="B60"/>
      <c r="H60"/>
      <c r="I60" s="61"/>
      <c r="O60"/>
      <c r="P60" s="61"/>
      <c r="R60" s="484">
        <f>R59+S59+T59</f>
        <v>71</v>
      </c>
      <c r="S60" s="484"/>
      <c r="T60" s="484"/>
    </row>
    <row r="61" spans="2:23">
      <c r="B61"/>
      <c r="H61"/>
      <c r="O61"/>
      <c r="S61" s="479">
        <f>S59+T59</f>
        <v>42</v>
      </c>
      <c r="T61" s="479"/>
    </row>
    <row r="62" spans="2:23">
      <c r="B62"/>
      <c r="H62"/>
      <c r="O62"/>
      <c r="R62" s="232">
        <f>B41</f>
        <v>34</v>
      </c>
      <c r="S62" s="232">
        <f>H41</f>
        <v>41</v>
      </c>
      <c r="T62" s="232">
        <f>O41</f>
        <v>8</v>
      </c>
      <c r="V62">
        <f>R62+S62+T62</f>
        <v>83</v>
      </c>
    </row>
    <row r="63" spans="2:23">
      <c r="B63"/>
      <c r="H63"/>
      <c r="O63"/>
      <c r="R63" s="451">
        <f>R62+S62+T62</f>
        <v>83</v>
      </c>
      <c r="S63" s="451"/>
      <c r="T63" s="451"/>
      <c r="V63" s="485">
        <f>V59/V62</f>
        <v>0.85542168674698793</v>
      </c>
      <c r="W63" s="485"/>
    </row>
    <row r="64" spans="2:23">
      <c r="B64"/>
      <c r="H64"/>
      <c r="O64"/>
    </row>
    <row r="65" spans="2:15">
      <c r="B65"/>
      <c r="H65"/>
      <c r="O65"/>
    </row>
    <row r="66" spans="2:15">
      <c r="B66"/>
      <c r="H66"/>
      <c r="O66"/>
    </row>
    <row r="67" spans="2:15">
      <c r="B67"/>
      <c r="H67"/>
      <c r="O67"/>
    </row>
    <row r="68" spans="2:15">
      <c r="B68"/>
      <c r="H68"/>
      <c r="O68"/>
    </row>
    <row r="69" spans="2:15">
      <c r="B69"/>
      <c r="H69"/>
      <c r="O69"/>
    </row>
    <row r="70" spans="2:15">
      <c r="B70"/>
      <c r="H70"/>
      <c r="O70"/>
    </row>
  </sheetData>
  <mergeCells count="10">
    <mergeCell ref="Z42:AB42"/>
    <mergeCell ref="AA43:AB43"/>
    <mergeCell ref="Z39:AB39"/>
    <mergeCell ref="B2:M2"/>
    <mergeCell ref="R63:T63"/>
    <mergeCell ref="S61:T61"/>
    <mergeCell ref="R60:T60"/>
    <mergeCell ref="V42:X42"/>
    <mergeCell ref="W43:X43"/>
    <mergeCell ref="V63:W6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"/>
  <sheetViews>
    <sheetView workbookViewId="0">
      <selection activeCell="N10" sqref="N10"/>
    </sheetView>
  </sheetViews>
  <sheetFormatPr baseColWidth="10" defaultRowHeight="15"/>
  <cols>
    <col min="2" max="2" width="13.85546875" bestFit="1" customWidth="1"/>
    <col min="4" max="4" width="16.28515625" bestFit="1" customWidth="1"/>
    <col min="5" max="7" width="5.7109375" customWidth="1"/>
    <col min="9" max="11" width="5.7109375" customWidth="1"/>
  </cols>
  <sheetData>
    <row r="2" spans="2:11">
      <c r="E2">
        <f>'nb formule'!P93</f>
        <v>758</v>
      </c>
    </row>
    <row r="3" spans="2:11">
      <c r="E3">
        <f>SUM(E6:E10)</f>
        <v>188.5</v>
      </c>
      <c r="I3" s="472" t="s">
        <v>509</v>
      </c>
      <c r="J3" s="472"/>
      <c r="K3" s="472"/>
    </row>
    <row r="4" spans="2:11">
      <c r="E4">
        <f>E2+E3</f>
        <v>946.5</v>
      </c>
      <c r="I4" s="426"/>
      <c r="J4" s="426"/>
      <c r="K4" s="426"/>
    </row>
    <row r="5" spans="2:11">
      <c r="I5" s="428"/>
      <c r="J5" s="428"/>
      <c r="K5" s="428"/>
    </row>
    <row r="6" spans="2:11">
      <c r="B6" t="s">
        <v>502</v>
      </c>
      <c r="C6">
        <v>9</v>
      </c>
      <c r="D6" t="s">
        <v>511</v>
      </c>
    </row>
    <row r="7" spans="2:11">
      <c r="C7">
        <v>8</v>
      </c>
      <c r="D7" t="s">
        <v>510</v>
      </c>
      <c r="E7" s="428">
        <v>93.5</v>
      </c>
      <c r="F7" s="428">
        <v>8</v>
      </c>
      <c r="G7" s="428">
        <f>E7*F7</f>
        <v>748</v>
      </c>
      <c r="H7" s="428"/>
      <c r="I7" s="428">
        <f>'objet construit'!F43</f>
        <v>20</v>
      </c>
      <c r="J7" s="428">
        <f>F7</f>
        <v>8</v>
      </c>
      <c r="K7" s="428">
        <f>I7*J7</f>
        <v>160</v>
      </c>
    </row>
    <row r="8" spans="2:11">
      <c r="C8">
        <v>7</v>
      </c>
      <c r="E8" s="428"/>
      <c r="F8" s="428"/>
      <c r="G8" s="428"/>
      <c r="H8" s="428"/>
      <c r="I8" s="428"/>
      <c r="J8" s="428"/>
      <c r="K8" s="428"/>
    </row>
    <row r="9" spans="2:11">
      <c r="C9">
        <v>6</v>
      </c>
      <c r="E9" s="428"/>
      <c r="F9" s="428"/>
      <c r="G9" s="428"/>
      <c r="H9" s="428"/>
      <c r="I9" s="428"/>
      <c r="J9" s="428"/>
      <c r="K9" s="428"/>
    </row>
    <row r="10" spans="2:11">
      <c r="C10">
        <v>5</v>
      </c>
      <c r="D10" t="s">
        <v>503</v>
      </c>
      <c r="E10" s="428">
        <f>'nb formule'!O95</f>
        <v>95</v>
      </c>
      <c r="F10" s="428">
        <f>C10</f>
        <v>5</v>
      </c>
      <c r="G10" s="428">
        <f>E10*F10</f>
        <v>475</v>
      </c>
      <c r="H10" s="428"/>
      <c r="I10" s="428">
        <f>'objet construit'!E43</f>
        <v>22</v>
      </c>
      <c r="J10" s="428">
        <f>F10</f>
        <v>5</v>
      </c>
      <c r="K10" s="428">
        <f>I10*J10</f>
        <v>110</v>
      </c>
    </row>
    <row r="11" spans="2:11">
      <c r="C11">
        <v>4</v>
      </c>
      <c r="E11" s="428"/>
      <c r="F11" s="428"/>
      <c r="G11" s="428"/>
      <c r="H11" s="428"/>
      <c r="I11" s="428"/>
      <c r="J11" s="428"/>
      <c r="K11" s="428"/>
    </row>
    <row r="12" spans="2:11">
      <c r="C12">
        <v>3</v>
      </c>
      <c r="D12" t="s">
        <v>505</v>
      </c>
      <c r="E12" s="428">
        <v>476</v>
      </c>
      <c r="F12" s="428">
        <v>3</v>
      </c>
      <c r="G12" s="428">
        <f>E12*F12</f>
        <v>1428</v>
      </c>
      <c r="H12" s="428"/>
      <c r="I12" s="428"/>
      <c r="J12" s="428"/>
      <c r="K12" s="428"/>
    </row>
    <row r="13" spans="2:11">
      <c r="C13">
        <v>2</v>
      </c>
      <c r="D13" t="s">
        <v>507</v>
      </c>
      <c r="E13" s="428">
        <v>0</v>
      </c>
      <c r="F13" s="428">
        <v>2</v>
      </c>
      <c r="G13" s="428">
        <f>E13*F13</f>
        <v>0</v>
      </c>
      <c r="H13" s="428"/>
      <c r="I13" s="428">
        <f>'objet construit'!D43</f>
        <v>29</v>
      </c>
      <c r="J13" s="428">
        <f>F13</f>
        <v>2</v>
      </c>
      <c r="K13" s="428">
        <f>I13*J13</f>
        <v>58</v>
      </c>
    </row>
    <row r="14" spans="2:11">
      <c r="C14">
        <v>1</v>
      </c>
      <c r="D14" t="s">
        <v>504</v>
      </c>
      <c r="E14" s="428">
        <v>0</v>
      </c>
      <c r="F14" s="428">
        <v>1</v>
      </c>
      <c r="G14" s="428">
        <f>E14*F14</f>
        <v>0</v>
      </c>
      <c r="H14" s="428"/>
      <c r="I14" s="428"/>
      <c r="J14" s="428"/>
      <c r="K14" s="428"/>
    </row>
    <row r="15" spans="2:11">
      <c r="E15" s="428"/>
      <c r="F15" s="428"/>
      <c r="G15" s="428"/>
      <c r="H15" s="428"/>
      <c r="I15" s="428"/>
      <c r="J15" s="428"/>
      <c r="K15" s="428"/>
    </row>
    <row r="16" spans="2:11">
      <c r="D16" t="s">
        <v>506</v>
      </c>
      <c r="E16" s="428">
        <f>SUM(E6:E14)</f>
        <v>664.5</v>
      </c>
      <c r="F16" s="428"/>
      <c r="G16" s="428">
        <f>SUM(G6:G14)</f>
        <v>2651</v>
      </c>
      <c r="H16" s="428"/>
      <c r="I16" s="428">
        <f>SUM(I6:I14)</f>
        <v>71</v>
      </c>
      <c r="J16" s="428"/>
      <c r="K16" s="428">
        <f>SUM(K6:K14)</f>
        <v>328</v>
      </c>
    </row>
    <row r="17" spans="4:11">
      <c r="D17" t="s">
        <v>508</v>
      </c>
      <c r="E17" s="428">
        <f>I16</f>
        <v>71</v>
      </c>
      <c r="F17" s="428"/>
      <c r="G17" s="428">
        <f>K16</f>
        <v>328</v>
      </c>
      <c r="H17" s="428"/>
      <c r="I17" s="428"/>
      <c r="J17" s="428"/>
      <c r="K17" s="428"/>
    </row>
    <row r="18" spans="4:11">
      <c r="E18" s="428">
        <f>E16+E17</f>
        <v>735.5</v>
      </c>
      <c r="F18" s="428"/>
      <c r="G18" s="428">
        <f>G16+G17</f>
        <v>2979</v>
      </c>
      <c r="H18" s="428"/>
      <c r="I18" s="428"/>
      <c r="J18" s="428"/>
      <c r="K18" s="428"/>
    </row>
  </sheetData>
  <mergeCells count="1">
    <mergeCell ref="I3:K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9"/>
  <sheetViews>
    <sheetView workbookViewId="0">
      <selection activeCell="P20" sqref="P20"/>
    </sheetView>
  </sheetViews>
  <sheetFormatPr baseColWidth="10" defaultRowHeight="15"/>
  <sheetData>
    <row r="2" spans="1:25">
      <c r="M2">
        <v>3</v>
      </c>
      <c r="N2">
        <v>4</v>
      </c>
      <c r="O2">
        <v>9</v>
      </c>
    </row>
    <row r="3" spans="1:25">
      <c r="A3" s="429">
        <v>30</v>
      </c>
      <c r="B3">
        <v>1</v>
      </c>
      <c r="C3">
        <f>A3*B3</f>
        <v>30</v>
      </c>
      <c r="F3">
        <v>94</v>
      </c>
      <c r="G3">
        <f>F3/4</f>
        <v>23.5</v>
      </c>
      <c r="H3">
        <f>G3/7</f>
        <v>3.3571428571428572</v>
      </c>
      <c r="L3" t="s">
        <v>512</v>
      </c>
      <c r="M3">
        <f>F3/30</f>
        <v>3.1333333333333333</v>
      </c>
      <c r="N3">
        <f>M3*7</f>
        <v>21.933333333333334</v>
      </c>
      <c r="O3">
        <f>N3*4</f>
        <v>87.733333333333334</v>
      </c>
      <c r="Q3" s="429">
        <v>22</v>
      </c>
      <c r="R3" s="429">
        <v>5</v>
      </c>
      <c r="S3" s="429">
        <f>Q3/R3</f>
        <v>4.4000000000000004</v>
      </c>
      <c r="T3" s="429">
        <v>30</v>
      </c>
      <c r="U3" s="429">
        <f>S3*T3</f>
        <v>132</v>
      </c>
    </row>
    <row r="4" spans="1:25">
      <c r="A4" s="429">
        <v>12</v>
      </c>
      <c r="B4">
        <f>A4</f>
        <v>12</v>
      </c>
      <c r="C4" s="430">
        <f>C3*B4</f>
        <v>360</v>
      </c>
      <c r="F4">
        <v>108</v>
      </c>
      <c r="M4">
        <f>s_1*M3</f>
        <v>9.4</v>
      </c>
      <c r="N4">
        <f>m_1*N3</f>
        <v>87.733333333333334</v>
      </c>
      <c r="O4">
        <f>a_1*O3</f>
        <v>789.6</v>
      </c>
    </row>
    <row r="5" spans="1:25">
      <c r="A5" s="429" t="s">
        <v>351</v>
      </c>
      <c r="B5">
        <v>10</v>
      </c>
      <c r="C5" s="430">
        <f>$C$4*B5</f>
        <v>3600</v>
      </c>
      <c r="F5">
        <v>91</v>
      </c>
      <c r="M5">
        <v>18</v>
      </c>
    </row>
    <row r="6" spans="1:25">
      <c r="A6" s="429"/>
      <c r="B6">
        <v>20</v>
      </c>
      <c r="C6" s="430">
        <f t="shared" ref="C6:C7" si="0">$C$4*B6</f>
        <v>7200</v>
      </c>
      <c r="F6">
        <f>F3+F4+F5</f>
        <v>293</v>
      </c>
      <c r="L6" t="s">
        <v>513</v>
      </c>
      <c r="M6">
        <f>M3/M5</f>
        <v>0.17407407407407408</v>
      </c>
    </row>
    <row r="7" spans="1:25">
      <c r="A7" s="429"/>
      <c r="B7">
        <v>30</v>
      </c>
      <c r="C7" s="430">
        <f t="shared" si="0"/>
        <v>10800</v>
      </c>
      <c r="F7">
        <f>F6/3</f>
        <v>97.666666666666671</v>
      </c>
      <c r="G7">
        <f>V7</f>
        <v>100</v>
      </c>
      <c r="H7">
        <f t="shared" ref="H7:J11" si="1">W7</f>
        <v>9766.6666666666679</v>
      </c>
      <c r="I7">
        <f t="shared" si="1"/>
        <v>97.666666666666686</v>
      </c>
      <c r="J7">
        <f t="shared" si="1"/>
        <v>0</v>
      </c>
      <c r="U7">
        <f t="shared" ref="U7:U10" si="2">F7</f>
        <v>97.666666666666671</v>
      </c>
      <c r="V7">
        <v>100</v>
      </c>
      <c r="W7">
        <f>F7*V7</f>
        <v>9766.6666666666679</v>
      </c>
      <c r="X7">
        <f>W7/100</f>
        <v>97.666666666666686</v>
      </c>
    </row>
    <row r="8" spans="1:25">
      <c r="A8" s="429"/>
      <c r="F8">
        <f>F7</f>
        <v>97.666666666666671</v>
      </c>
      <c r="G8">
        <f t="shared" ref="G8:G11" si="3">V8</f>
        <v>80</v>
      </c>
      <c r="H8">
        <f t="shared" si="1"/>
        <v>7813.3333333333339</v>
      </c>
      <c r="I8">
        <f t="shared" si="1"/>
        <v>78.13333333333334</v>
      </c>
      <c r="J8">
        <f t="shared" si="1"/>
        <v>0</v>
      </c>
      <c r="U8">
        <f t="shared" si="2"/>
        <v>97.666666666666671</v>
      </c>
      <c r="V8">
        <v>80</v>
      </c>
      <c r="W8">
        <f>F8*V8</f>
        <v>7813.3333333333339</v>
      </c>
      <c r="X8">
        <f>W8/100</f>
        <v>78.13333333333334</v>
      </c>
    </row>
    <row r="9" spans="1:25">
      <c r="A9" s="429"/>
      <c r="F9">
        <f t="shared" ref="F9:F11" si="4">F8</f>
        <v>97.666666666666671</v>
      </c>
      <c r="G9">
        <f t="shared" si="3"/>
        <v>70</v>
      </c>
      <c r="H9">
        <f t="shared" si="1"/>
        <v>6836.666666666667</v>
      </c>
      <c r="I9">
        <f t="shared" si="1"/>
        <v>68.366666666666674</v>
      </c>
      <c r="J9">
        <f t="shared" si="1"/>
        <v>146.5</v>
      </c>
      <c r="U9">
        <f t="shared" si="2"/>
        <v>97.666666666666671</v>
      </c>
      <c r="V9">
        <v>70</v>
      </c>
      <c r="W9">
        <f>F9*V9</f>
        <v>6836.666666666667</v>
      </c>
      <c r="X9">
        <f>W9/100</f>
        <v>68.366666666666674</v>
      </c>
      <c r="Y9">
        <f>X9+X8</f>
        <v>146.5</v>
      </c>
    </row>
    <row r="10" spans="1:25">
      <c r="A10" s="429">
        <v>97</v>
      </c>
      <c r="B10">
        <f>A10</f>
        <v>97</v>
      </c>
      <c r="C10">
        <f>B10</f>
        <v>97</v>
      </c>
      <c r="F10">
        <f t="shared" si="4"/>
        <v>97.666666666666671</v>
      </c>
      <c r="G10">
        <f t="shared" si="3"/>
        <v>60</v>
      </c>
      <c r="H10">
        <f t="shared" si="1"/>
        <v>5860</v>
      </c>
      <c r="I10">
        <f t="shared" si="1"/>
        <v>58.6</v>
      </c>
      <c r="J10">
        <f t="shared" si="1"/>
        <v>73.25</v>
      </c>
      <c r="M10">
        <f>A10/30</f>
        <v>3.2333333333333334</v>
      </c>
      <c r="N10">
        <f>M10*7</f>
        <v>22.633333333333333</v>
      </c>
      <c r="O10">
        <f>N10*4</f>
        <v>90.533333333333331</v>
      </c>
      <c r="U10">
        <f t="shared" si="2"/>
        <v>97.666666666666671</v>
      </c>
      <c r="V10">
        <v>60</v>
      </c>
      <c r="W10">
        <f>F10*V10</f>
        <v>5860</v>
      </c>
      <c r="X10">
        <f>W10/100</f>
        <v>58.6</v>
      </c>
      <c r="Y10">
        <f>Y9/2</f>
        <v>73.25</v>
      </c>
    </row>
    <row r="11" spans="1:25">
      <c r="A11" s="429">
        <v>12</v>
      </c>
      <c r="B11">
        <f>A11</f>
        <v>12</v>
      </c>
      <c r="C11" s="430">
        <f>C10*B11</f>
        <v>1164</v>
      </c>
      <c r="D11">
        <v>25</v>
      </c>
      <c r="E11" t="s">
        <v>205</v>
      </c>
      <c r="F11">
        <f t="shared" si="4"/>
        <v>97.666666666666671</v>
      </c>
      <c r="G11">
        <f t="shared" si="3"/>
        <v>50</v>
      </c>
      <c r="H11">
        <f t="shared" si="1"/>
        <v>4883.3333333333339</v>
      </c>
      <c r="I11">
        <f t="shared" si="1"/>
        <v>48.833333333333343</v>
      </c>
      <c r="J11">
        <f t="shared" si="1"/>
        <v>0.75</v>
      </c>
      <c r="M11">
        <f>s_1*M10</f>
        <v>9.6999999999999993</v>
      </c>
      <c r="N11">
        <f>m_1*N10</f>
        <v>90.533333333333331</v>
      </c>
      <c r="O11">
        <f>a_1*O10</f>
        <v>814.8</v>
      </c>
      <c r="U11">
        <f>F11</f>
        <v>97.666666666666671</v>
      </c>
      <c r="V11">
        <v>50</v>
      </c>
      <c r="W11">
        <f>U11*V11</f>
        <v>4883.3333333333339</v>
      </c>
      <c r="X11">
        <f>W11/100</f>
        <v>48.833333333333343</v>
      </c>
      <c r="Y11" s="123">
        <f>Y10/U10</f>
        <v>0.75</v>
      </c>
    </row>
    <row r="12" spans="1:25">
      <c r="A12" s="429" t="s">
        <v>351</v>
      </c>
      <c r="B12">
        <v>10</v>
      </c>
      <c r="C12" s="430">
        <f>$C$11*B12</f>
        <v>11640</v>
      </c>
      <c r="D12">
        <f>D11+B12</f>
        <v>35</v>
      </c>
      <c r="E12" t="s">
        <v>205</v>
      </c>
      <c r="U12">
        <f>U11</f>
        <v>97.666666666666671</v>
      </c>
      <c r="V12">
        <f>V11-10</f>
        <v>40</v>
      </c>
      <c r="W12">
        <f t="shared" ref="W12:W16" si="5">U12*V12</f>
        <v>3906.666666666667</v>
      </c>
      <c r="X12">
        <f t="shared" ref="X12:X16" si="6">W12/100</f>
        <v>39.06666666666667</v>
      </c>
      <c r="Y12" s="123">
        <f t="shared" ref="Y12" si="7">Y11/F11</f>
        <v>7.6791808873720134E-3</v>
      </c>
    </row>
    <row r="13" spans="1:25">
      <c r="A13" s="429"/>
      <c r="B13">
        <v>20</v>
      </c>
      <c r="C13" s="430">
        <f t="shared" ref="C13:C15" si="8">$C$11*B13</f>
        <v>23280</v>
      </c>
      <c r="D13">
        <f>D11+B13</f>
        <v>45</v>
      </c>
      <c r="E13" t="s">
        <v>205</v>
      </c>
      <c r="U13">
        <f t="shared" ref="U13:U16" si="9">U12</f>
        <v>97.666666666666671</v>
      </c>
      <c r="V13">
        <f t="shared" ref="V13:V16" si="10">V12-10</f>
        <v>30</v>
      </c>
      <c r="W13">
        <f t="shared" si="5"/>
        <v>2930</v>
      </c>
      <c r="X13">
        <f t="shared" si="6"/>
        <v>29.3</v>
      </c>
      <c r="Y13" s="123"/>
    </row>
    <row r="14" spans="1:25">
      <c r="A14" s="429"/>
      <c r="B14">
        <v>30</v>
      </c>
      <c r="C14" s="430">
        <f t="shared" si="8"/>
        <v>34920</v>
      </c>
      <c r="D14">
        <f>D11+B14</f>
        <v>55</v>
      </c>
      <c r="E14" t="s">
        <v>205</v>
      </c>
      <c r="U14">
        <f t="shared" si="9"/>
        <v>97.666666666666671</v>
      </c>
      <c r="V14">
        <f t="shared" si="10"/>
        <v>20</v>
      </c>
      <c r="W14">
        <f t="shared" si="5"/>
        <v>1953.3333333333335</v>
      </c>
      <c r="X14">
        <f t="shared" si="6"/>
        <v>19.533333333333335</v>
      </c>
      <c r="Y14" s="123"/>
    </row>
    <row r="15" spans="1:25">
      <c r="A15" s="429"/>
      <c r="B15">
        <v>40</v>
      </c>
      <c r="C15" s="430">
        <f t="shared" si="8"/>
        <v>46560</v>
      </c>
      <c r="D15">
        <f>D11+B15</f>
        <v>65</v>
      </c>
      <c r="E15" t="s">
        <v>205</v>
      </c>
      <c r="I15">
        <v>1</v>
      </c>
      <c r="U15">
        <f t="shared" si="9"/>
        <v>97.666666666666671</v>
      </c>
      <c r="V15">
        <f t="shared" si="10"/>
        <v>10</v>
      </c>
      <c r="W15">
        <f t="shared" si="5"/>
        <v>976.66666666666674</v>
      </c>
      <c r="X15">
        <f t="shared" si="6"/>
        <v>9.7666666666666675</v>
      </c>
      <c r="Y15" s="123"/>
    </row>
    <row r="16" spans="1:25">
      <c r="A16" s="429"/>
      <c r="I16">
        <v>800</v>
      </c>
      <c r="J16">
        <f>I16/12</f>
        <v>66.666666666666671</v>
      </c>
      <c r="K16" t="s">
        <v>514</v>
      </c>
      <c r="U16">
        <f t="shared" si="9"/>
        <v>97.666666666666671</v>
      </c>
      <c r="V16">
        <f t="shared" si="10"/>
        <v>0</v>
      </c>
      <c r="W16">
        <f t="shared" si="5"/>
        <v>0</v>
      </c>
      <c r="X16">
        <f t="shared" si="6"/>
        <v>0</v>
      </c>
      <c r="Y16" s="123"/>
    </row>
    <row r="17" spans="1:25">
      <c r="A17" s="429"/>
      <c r="C17" s="431">
        <f>C7/C15</f>
        <v>0.23195876288659795</v>
      </c>
      <c r="I17">
        <v>273</v>
      </c>
      <c r="J17">
        <f t="shared" ref="J17:J18" si="11">I17/12</f>
        <v>22.75</v>
      </c>
      <c r="K17" t="s">
        <v>514</v>
      </c>
      <c r="Y17" s="123"/>
    </row>
    <row r="18" spans="1:25">
      <c r="A18" s="429"/>
      <c r="I18">
        <v>8250</v>
      </c>
      <c r="J18">
        <f t="shared" si="11"/>
        <v>687.5</v>
      </c>
      <c r="K18" t="s">
        <v>515</v>
      </c>
      <c r="Y18" s="123"/>
    </row>
    <row r="19" spans="1:25">
      <c r="A19" s="429">
        <v>68</v>
      </c>
      <c r="B19">
        <f>A19</f>
        <v>68</v>
      </c>
      <c r="C19">
        <f>B19</f>
        <v>68</v>
      </c>
      <c r="D19">
        <f>C19/30</f>
        <v>2.2666666666666666</v>
      </c>
      <c r="I19" s="211"/>
      <c r="J19" s="432">
        <f>J18/10</f>
        <v>68.75</v>
      </c>
      <c r="K19" s="433" t="s">
        <v>516</v>
      </c>
      <c r="L19" s="3"/>
      <c r="M19">
        <f>A19/30</f>
        <v>2.2666666666666666</v>
      </c>
      <c r="N19">
        <f>M19*7</f>
        <v>15.866666666666667</v>
      </c>
      <c r="O19">
        <f>N19*4</f>
        <v>63.466666666666669</v>
      </c>
      <c r="Y19" s="123"/>
    </row>
    <row r="20" spans="1:25">
      <c r="A20" s="429">
        <v>9</v>
      </c>
      <c r="B20">
        <f>A20</f>
        <v>9</v>
      </c>
      <c r="C20" s="430">
        <f>C19*B20</f>
        <v>612</v>
      </c>
      <c r="D20">
        <v>25</v>
      </c>
      <c r="E20" t="s">
        <v>205</v>
      </c>
      <c r="F20">
        <v>6</v>
      </c>
      <c r="G20">
        <v>408</v>
      </c>
      <c r="J20">
        <f>J19/4</f>
        <v>17.1875</v>
      </c>
      <c r="K20" s="434" t="s">
        <v>517</v>
      </c>
      <c r="L20" s="434"/>
      <c r="M20">
        <f>s_1*M19</f>
        <v>6.8</v>
      </c>
      <c r="N20">
        <f>m_1*N19</f>
        <v>63.466666666666669</v>
      </c>
      <c r="O20">
        <f>a_1*O19</f>
        <v>571.20000000000005</v>
      </c>
    </row>
    <row r="21" spans="1:25">
      <c r="A21" s="429" t="s">
        <v>351</v>
      </c>
      <c r="B21">
        <v>10</v>
      </c>
      <c r="C21" s="430">
        <f>$C$20*B21</f>
        <v>6120</v>
      </c>
      <c r="D21">
        <f>D20+B21</f>
        <v>35</v>
      </c>
      <c r="E21" t="s">
        <v>205</v>
      </c>
      <c r="F21">
        <f>F20*2</f>
        <v>12</v>
      </c>
      <c r="G21">
        <f>G20*2</f>
        <v>816</v>
      </c>
      <c r="J21">
        <f>J20/5</f>
        <v>3.4375</v>
      </c>
      <c r="K21" s="434" t="s">
        <v>518</v>
      </c>
      <c r="L21" s="434"/>
    </row>
    <row r="22" spans="1:25">
      <c r="A22" s="429"/>
      <c r="B22">
        <v>20</v>
      </c>
      <c r="C22" s="430">
        <f t="shared" ref="C22:C24" si="12">$C$20*B22</f>
        <v>12240</v>
      </c>
      <c r="D22">
        <f>D20+B22</f>
        <v>45</v>
      </c>
      <c r="E22" t="s">
        <v>205</v>
      </c>
      <c r="F22">
        <v>2</v>
      </c>
      <c r="G22">
        <f>G21*2</f>
        <v>1632</v>
      </c>
    </row>
    <row r="23" spans="1:25">
      <c r="A23" s="429"/>
      <c r="B23">
        <v>30</v>
      </c>
      <c r="C23" s="430">
        <f t="shared" si="12"/>
        <v>18360</v>
      </c>
      <c r="D23">
        <f>D20+B23</f>
        <v>55</v>
      </c>
      <c r="E23" t="s">
        <v>205</v>
      </c>
      <c r="F23">
        <v>3</v>
      </c>
      <c r="G23">
        <f>G21*F23</f>
        <v>2448</v>
      </c>
    </row>
    <row r="24" spans="1:25">
      <c r="A24" s="429"/>
      <c r="B24">
        <v>40</v>
      </c>
      <c r="C24" s="430">
        <f t="shared" si="12"/>
        <v>24480</v>
      </c>
      <c r="D24">
        <f>D20+B24</f>
        <v>65</v>
      </c>
      <c r="E24" t="s">
        <v>205</v>
      </c>
    </row>
    <row r="25" spans="1:25">
      <c r="A25" s="429"/>
    </row>
    <row r="26" spans="1:25">
      <c r="A26" s="429"/>
    </row>
    <row r="27" spans="1:25">
      <c r="A27" s="429">
        <v>30</v>
      </c>
      <c r="B27">
        <v>50</v>
      </c>
      <c r="C27">
        <f>A27*B27</f>
        <v>1500</v>
      </c>
    </row>
    <row r="28" spans="1:25">
      <c r="A28" s="429"/>
      <c r="I28" s="223"/>
      <c r="J28" s="177"/>
      <c r="K28" s="436"/>
    </row>
    <row r="29" spans="1:25">
      <c r="A29" s="429">
        <v>68</v>
      </c>
      <c r="B29">
        <f>A29</f>
        <v>68</v>
      </c>
      <c r="C29">
        <f>B29</f>
        <v>68</v>
      </c>
      <c r="D29">
        <f>C29/30</f>
        <v>2.2666666666666666</v>
      </c>
      <c r="I29" s="92"/>
      <c r="J29" s="93">
        <v>408</v>
      </c>
      <c r="K29" s="436"/>
      <c r="M29">
        <f>A29/30</f>
        <v>2.2666666666666666</v>
      </c>
      <c r="N29">
        <f>M29*7</f>
        <v>15.866666666666667</v>
      </c>
      <c r="O29">
        <f>N29*4</f>
        <v>63.466666666666669</v>
      </c>
    </row>
    <row r="30" spans="1:25">
      <c r="A30" s="429">
        <v>6</v>
      </c>
      <c r="B30">
        <f>A30</f>
        <v>6</v>
      </c>
      <c r="C30" s="430">
        <f>C29*B30</f>
        <v>408</v>
      </c>
      <c r="D30">
        <v>6</v>
      </c>
      <c r="E30" t="s">
        <v>351</v>
      </c>
      <c r="F30">
        <v>6</v>
      </c>
      <c r="G30">
        <v>408</v>
      </c>
      <c r="I30" s="92">
        <v>1</v>
      </c>
      <c r="J30" s="93">
        <f>J29*I30</f>
        <v>408</v>
      </c>
      <c r="K30" s="436"/>
      <c r="M30">
        <f>s_1*M29</f>
        <v>6.8</v>
      </c>
      <c r="N30">
        <f>m_1*N29</f>
        <v>63.466666666666669</v>
      </c>
      <c r="O30">
        <f>a_1*O29</f>
        <v>571.20000000000005</v>
      </c>
    </row>
    <row r="31" spans="1:25">
      <c r="A31" s="429" t="s">
        <v>351</v>
      </c>
      <c r="B31">
        <v>12</v>
      </c>
      <c r="C31" s="430">
        <f>C30*2</f>
        <v>816</v>
      </c>
      <c r="D31">
        <v>1</v>
      </c>
      <c r="E31" t="s">
        <v>205</v>
      </c>
      <c r="I31" s="92">
        <v>2</v>
      </c>
      <c r="J31" s="93">
        <f>J29*I31</f>
        <v>816</v>
      </c>
      <c r="K31" s="436"/>
    </row>
    <row r="32" spans="1:25">
      <c r="A32" s="429"/>
      <c r="C32" s="430"/>
      <c r="D32">
        <v>25</v>
      </c>
      <c r="E32" t="s">
        <v>205</v>
      </c>
      <c r="I32" s="92">
        <v>3</v>
      </c>
      <c r="J32" s="93">
        <f>J29*I32</f>
        <v>1224</v>
      </c>
      <c r="K32" s="436"/>
    </row>
    <row r="33" spans="1:11">
      <c r="A33" s="429"/>
      <c r="B33">
        <v>10</v>
      </c>
      <c r="C33" s="430">
        <f>$C$30*B33</f>
        <v>4080</v>
      </c>
      <c r="D33">
        <f>D32+B33</f>
        <v>35</v>
      </c>
      <c r="E33" t="s">
        <v>205</v>
      </c>
      <c r="F33">
        <f>F30*2</f>
        <v>12</v>
      </c>
      <c r="G33">
        <f>G30*2</f>
        <v>816</v>
      </c>
      <c r="I33" s="92">
        <v>4</v>
      </c>
      <c r="J33" s="93">
        <f>J29*I33</f>
        <v>1632</v>
      </c>
      <c r="K33" s="436"/>
    </row>
    <row r="34" spans="1:11">
      <c r="A34" s="429"/>
      <c r="B34">
        <v>20</v>
      </c>
      <c r="C34" s="430">
        <f t="shared" ref="C34:C36" si="13">$C$30*B34</f>
        <v>8160</v>
      </c>
      <c r="D34">
        <f>D32+B34</f>
        <v>45</v>
      </c>
      <c r="E34" t="s">
        <v>205</v>
      </c>
      <c r="F34">
        <v>2</v>
      </c>
      <c r="G34">
        <f>G33*2</f>
        <v>1632</v>
      </c>
      <c r="I34" s="112"/>
      <c r="J34" s="178"/>
      <c r="K34" s="436"/>
    </row>
    <row r="35" spans="1:11">
      <c r="A35" s="429"/>
      <c r="B35">
        <v>30</v>
      </c>
      <c r="C35" s="430">
        <f t="shared" si="13"/>
        <v>12240</v>
      </c>
      <c r="D35">
        <f>D32+B35</f>
        <v>55</v>
      </c>
      <c r="E35" t="s">
        <v>205</v>
      </c>
      <c r="F35">
        <v>3</v>
      </c>
      <c r="G35">
        <f>G33*F35</f>
        <v>2448</v>
      </c>
      <c r="I35" s="435"/>
      <c r="J35" s="445">
        <f>C7</f>
        <v>10800</v>
      </c>
      <c r="K35" s="436"/>
    </row>
    <row r="36" spans="1:11">
      <c r="A36" s="429"/>
      <c r="B36">
        <v>40</v>
      </c>
      <c r="C36" s="430">
        <f t="shared" si="13"/>
        <v>16320</v>
      </c>
      <c r="D36">
        <f>D32+B36</f>
        <v>65</v>
      </c>
      <c r="E36" t="s">
        <v>205</v>
      </c>
      <c r="I36" s="187"/>
      <c r="J36" s="444">
        <f>J33/J35</f>
        <v>0.15111111111111111</v>
      </c>
    </row>
    <row r="37" spans="1:11">
      <c r="A37" s="429"/>
      <c r="I37" s="187"/>
      <c r="J37" s="444">
        <f>J32/J35</f>
        <v>0.11333333333333333</v>
      </c>
    </row>
    <row r="38" spans="1:11">
      <c r="A38" s="429"/>
      <c r="I38" s="188"/>
      <c r="J38" s="235"/>
    </row>
    <row r="39" spans="1:11">
      <c r="A39" s="429">
        <v>30</v>
      </c>
      <c r="B39">
        <v>50</v>
      </c>
      <c r="C39">
        <f>A39*B39</f>
        <v>1500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opLeftCell="A11" zoomScale="115" zoomScaleNormal="115" workbookViewId="0">
      <selection activeCell="M37" sqref="M37"/>
    </sheetView>
  </sheetViews>
  <sheetFormatPr baseColWidth="10" defaultRowHeight="15"/>
  <cols>
    <col min="2" max="2" width="20" bestFit="1" customWidth="1"/>
    <col min="3" max="6" width="4.7109375" style="1" customWidth="1"/>
    <col min="7" max="7" width="12.42578125" style="133" customWidth="1"/>
    <col min="8" max="8" width="11.42578125" style="1"/>
    <col min="10" max="12" width="11.42578125" style="1"/>
    <col min="13" max="13" width="39.5703125" bestFit="1" customWidth="1"/>
    <col min="14" max="14" width="7.7109375" style="1" bestFit="1" customWidth="1"/>
    <col min="15" max="15" width="3.85546875" customWidth="1"/>
    <col min="16" max="16" width="26.140625" bestFit="1" customWidth="1"/>
    <col min="18" max="19" width="18.5703125" bestFit="1" customWidth="1"/>
  </cols>
  <sheetData>
    <row r="1" spans="1:19" s="1" customFormat="1">
      <c r="C1" s="1" t="s">
        <v>215</v>
      </c>
      <c r="E1" s="1" t="s">
        <v>264</v>
      </c>
      <c r="F1" s="1" t="s">
        <v>265</v>
      </c>
      <c r="G1" s="134"/>
      <c r="J1" s="1" t="s">
        <v>289</v>
      </c>
      <c r="K1" s="1" t="str">
        <f>J1</f>
        <v>session</v>
      </c>
      <c r="N1" s="1" t="s">
        <v>285</v>
      </c>
    </row>
    <row r="2" spans="1:19">
      <c r="A2" t="s">
        <v>272</v>
      </c>
      <c r="B2" t="s">
        <v>255</v>
      </c>
      <c r="C2" s="1">
        <v>6</v>
      </c>
      <c r="D2" s="1">
        <v>4</v>
      </c>
      <c r="E2" s="1">
        <v>9</v>
      </c>
      <c r="F2" s="1">
        <v>1</v>
      </c>
      <c r="G2" s="134">
        <f>C2*D2*E2*F2</f>
        <v>216</v>
      </c>
      <c r="H2" s="1">
        <v>1</v>
      </c>
      <c r="J2" s="1">
        <v>1984</v>
      </c>
      <c r="K2" s="1">
        <v>1985</v>
      </c>
      <c r="L2" s="1" t="s">
        <v>256</v>
      </c>
      <c r="M2" t="s">
        <v>267</v>
      </c>
      <c r="N2" s="1">
        <v>1</v>
      </c>
      <c r="O2" s="130">
        <v>1</v>
      </c>
      <c r="P2" t="s">
        <v>277</v>
      </c>
      <c r="R2" s="130"/>
      <c r="S2" s="130"/>
    </row>
    <row r="3" spans="1:19">
      <c r="B3" t="s">
        <v>256</v>
      </c>
      <c r="C3" s="1">
        <v>6</v>
      </c>
      <c r="D3" s="1">
        <v>4</v>
      </c>
      <c r="E3" s="1">
        <v>9</v>
      </c>
      <c r="F3" s="1">
        <v>1</v>
      </c>
      <c r="G3" s="134">
        <f t="shared" ref="G3:G19" si="0">C3*D3*E3*F3</f>
        <v>216</v>
      </c>
      <c r="H3" s="1">
        <v>1</v>
      </c>
      <c r="J3" s="1">
        <v>1985</v>
      </c>
      <c r="K3" s="1">
        <v>1986</v>
      </c>
      <c r="O3" s="122"/>
      <c r="R3" s="130"/>
      <c r="S3" s="130"/>
    </row>
    <row r="4" spans="1:19">
      <c r="B4" t="s">
        <v>257</v>
      </c>
      <c r="C4" s="1">
        <v>6</v>
      </c>
      <c r="D4" s="1">
        <v>4</v>
      </c>
      <c r="E4" s="1">
        <v>9</v>
      </c>
      <c r="F4" s="1">
        <v>1</v>
      </c>
      <c r="G4" s="134">
        <f t="shared" si="0"/>
        <v>216</v>
      </c>
      <c r="H4" s="1">
        <v>1</v>
      </c>
      <c r="J4" s="1">
        <v>1986</v>
      </c>
      <c r="K4" s="1">
        <v>1987</v>
      </c>
      <c r="O4" s="130"/>
      <c r="R4" s="130"/>
      <c r="S4" s="130"/>
    </row>
    <row r="5" spans="1:19">
      <c r="B5" t="s">
        <v>254</v>
      </c>
      <c r="C5" s="1">
        <v>6</v>
      </c>
      <c r="D5" s="1">
        <v>4</v>
      </c>
      <c r="E5" s="1">
        <v>9</v>
      </c>
      <c r="F5" s="1">
        <v>1</v>
      </c>
      <c r="G5" s="134">
        <f t="shared" si="0"/>
        <v>216</v>
      </c>
      <c r="H5" s="1">
        <v>1</v>
      </c>
      <c r="J5" s="1">
        <v>1987</v>
      </c>
      <c r="K5" s="1">
        <v>1988</v>
      </c>
      <c r="O5" s="130"/>
      <c r="R5" s="130"/>
      <c r="S5" s="130"/>
    </row>
    <row r="6" spans="1:19">
      <c r="G6" s="134"/>
      <c r="J6" s="1">
        <v>1988</v>
      </c>
      <c r="K6" s="1">
        <v>1989</v>
      </c>
      <c r="O6" s="130"/>
      <c r="R6" s="130"/>
      <c r="S6" s="130"/>
    </row>
    <row r="7" spans="1:19">
      <c r="B7" t="s">
        <v>258</v>
      </c>
      <c r="C7" s="1">
        <v>6</v>
      </c>
      <c r="D7" s="1">
        <v>4</v>
      </c>
      <c r="E7" s="1">
        <v>9</v>
      </c>
      <c r="F7" s="1">
        <v>1</v>
      </c>
      <c r="G7" s="134">
        <f t="shared" si="0"/>
        <v>216</v>
      </c>
      <c r="H7" s="1">
        <v>1</v>
      </c>
      <c r="J7" s="1">
        <v>1989</v>
      </c>
      <c r="K7" s="1">
        <v>1990</v>
      </c>
      <c r="O7" s="130"/>
      <c r="R7" s="130"/>
      <c r="S7" s="130"/>
    </row>
    <row r="8" spans="1:19">
      <c r="G8" s="134"/>
      <c r="J8" s="1">
        <v>1990</v>
      </c>
      <c r="K8" s="1">
        <v>1991</v>
      </c>
      <c r="O8" s="122"/>
      <c r="R8" s="130"/>
      <c r="S8" s="130"/>
    </row>
    <row r="9" spans="1:19">
      <c r="B9" t="s">
        <v>259</v>
      </c>
      <c r="C9" s="1">
        <v>4</v>
      </c>
      <c r="D9" s="1">
        <v>4</v>
      </c>
      <c r="E9" s="1">
        <v>9</v>
      </c>
      <c r="F9" s="1">
        <v>1</v>
      </c>
      <c r="G9" s="134">
        <f t="shared" si="0"/>
        <v>144</v>
      </c>
      <c r="H9" s="1">
        <v>1</v>
      </c>
      <c r="J9" s="1">
        <v>1991</v>
      </c>
      <c r="K9" s="1">
        <v>1992</v>
      </c>
      <c r="L9" s="1" t="s">
        <v>273</v>
      </c>
      <c r="M9" t="s">
        <v>355</v>
      </c>
      <c r="N9" s="1">
        <v>1</v>
      </c>
      <c r="O9" s="130">
        <v>1</v>
      </c>
      <c r="P9" t="s">
        <v>278</v>
      </c>
      <c r="R9" s="130"/>
      <c r="S9" s="130"/>
    </row>
    <row r="10" spans="1:19">
      <c r="B10" t="s">
        <v>259</v>
      </c>
      <c r="C10" s="1">
        <v>4</v>
      </c>
      <c r="D10" s="1">
        <v>4</v>
      </c>
      <c r="E10" s="1">
        <v>9</v>
      </c>
      <c r="F10" s="1">
        <v>1</v>
      </c>
      <c r="G10" s="134">
        <f t="shared" si="0"/>
        <v>144</v>
      </c>
      <c r="H10" s="1">
        <v>1</v>
      </c>
      <c r="J10" s="1">
        <v>1992</v>
      </c>
      <c r="K10" s="1">
        <v>1993</v>
      </c>
      <c r="O10" s="130"/>
      <c r="R10" s="130"/>
      <c r="S10" s="130"/>
    </row>
    <row r="11" spans="1:19">
      <c r="G11" s="134"/>
      <c r="J11" s="1">
        <v>1993</v>
      </c>
      <c r="K11" s="1">
        <v>1994</v>
      </c>
      <c r="O11" s="122"/>
      <c r="R11" s="130"/>
      <c r="S11" s="130"/>
    </row>
    <row r="12" spans="1:19">
      <c r="B12" t="s">
        <v>260</v>
      </c>
      <c r="C12" s="1">
        <v>4</v>
      </c>
      <c r="D12" s="1">
        <v>4</v>
      </c>
      <c r="E12" s="1">
        <v>9</v>
      </c>
      <c r="F12" s="1">
        <v>1</v>
      </c>
      <c r="G12" s="134">
        <f t="shared" si="0"/>
        <v>144</v>
      </c>
      <c r="H12" s="1">
        <v>1</v>
      </c>
      <c r="J12" s="1">
        <v>1994</v>
      </c>
      <c r="K12" s="1">
        <v>1995</v>
      </c>
      <c r="O12" s="122"/>
      <c r="R12" s="130"/>
      <c r="S12" s="130"/>
    </row>
    <row r="13" spans="1:19">
      <c r="B13" t="s">
        <v>261</v>
      </c>
      <c r="C13" s="1">
        <v>4</v>
      </c>
      <c r="D13" s="1">
        <v>4</v>
      </c>
      <c r="E13" s="1">
        <v>5</v>
      </c>
      <c r="F13" s="1">
        <v>1</v>
      </c>
      <c r="G13" s="134">
        <f t="shared" si="0"/>
        <v>80</v>
      </c>
      <c r="H13" s="1">
        <f>E13/E12</f>
        <v>0.55555555555555558</v>
      </c>
      <c r="J13" s="1">
        <v>1995</v>
      </c>
      <c r="K13" s="1">
        <v>1996</v>
      </c>
      <c r="M13" t="s">
        <v>276</v>
      </c>
      <c r="N13" s="1">
        <v>1</v>
      </c>
      <c r="O13" s="130">
        <v>1</v>
      </c>
      <c r="P13" t="s">
        <v>279</v>
      </c>
      <c r="R13" s="130"/>
      <c r="S13" s="130"/>
    </row>
    <row r="14" spans="1:19">
      <c r="G14" s="134"/>
      <c r="J14" s="1">
        <v>1996</v>
      </c>
      <c r="K14" s="1">
        <v>1997</v>
      </c>
      <c r="O14" s="130"/>
      <c r="R14" s="130"/>
      <c r="S14" s="130"/>
    </row>
    <row r="15" spans="1:19">
      <c r="B15" t="s">
        <v>262</v>
      </c>
      <c r="C15" s="1">
        <v>6</v>
      </c>
      <c r="D15" s="1">
        <v>4</v>
      </c>
      <c r="E15" s="1">
        <v>6</v>
      </c>
      <c r="F15" s="1">
        <v>1</v>
      </c>
      <c r="G15" s="134">
        <f t="shared" si="0"/>
        <v>144</v>
      </c>
      <c r="J15" s="1">
        <v>1997</v>
      </c>
      <c r="K15" s="1">
        <v>1998</v>
      </c>
      <c r="L15" s="1" t="s">
        <v>197</v>
      </c>
      <c r="M15" t="s">
        <v>275</v>
      </c>
      <c r="N15" s="1">
        <v>1</v>
      </c>
      <c r="O15" s="130">
        <v>1</v>
      </c>
      <c r="P15" t="s">
        <v>280</v>
      </c>
      <c r="R15" s="130"/>
      <c r="S15" s="130"/>
    </row>
    <row r="16" spans="1:19">
      <c r="B16" t="s">
        <v>263</v>
      </c>
      <c r="C16" s="1">
        <v>6</v>
      </c>
      <c r="D16" s="1">
        <v>4</v>
      </c>
      <c r="E16" s="1">
        <v>6</v>
      </c>
      <c r="F16" s="1">
        <v>1</v>
      </c>
      <c r="G16" s="134">
        <f t="shared" si="0"/>
        <v>144</v>
      </c>
      <c r="H16" s="1">
        <v>1</v>
      </c>
      <c r="J16" s="1">
        <v>1998</v>
      </c>
      <c r="K16" s="1">
        <v>1999</v>
      </c>
      <c r="L16" s="1" t="s">
        <v>197</v>
      </c>
      <c r="M16" t="s">
        <v>274</v>
      </c>
      <c r="N16" s="1">
        <v>1</v>
      </c>
      <c r="O16" s="130">
        <v>1</v>
      </c>
      <c r="P16" t="s">
        <v>280</v>
      </c>
      <c r="R16" s="130"/>
      <c r="S16" s="130"/>
    </row>
    <row r="17" spans="2:20">
      <c r="G17" s="134"/>
      <c r="J17" s="1" t="s">
        <v>288</v>
      </c>
      <c r="R17" s="130"/>
      <c r="S17" s="130"/>
    </row>
    <row r="18" spans="2:20">
      <c r="B18" t="s">
        <v>197</v>
      </c>
      <c r="C18" s="1">
        <v>6</v>
      </c>
      <c r="D18" s="1">
        <v>4</v>
      </c>
      <c r="E18" s="1">
        <v>4</v>
      </c>
      <c r="F18" s="1">
        <v>2</v>
      </c>
      <c r="G18" s="134">
        <f t="shared" si="0"/>
        <v>192</v>
      </c>
      <c r="H18" s="1">
        <f>E18/8</f>
        <v>0.5</v>
      </c>
      <c r="J18" s="1">
        <v>1999</v>
      </c>
      <c r="M18" t="s">
        <v>287</v>
      </c>
      <c r="P18" t="str">
        <f>P16</f>
        <v>Besançon</v>
      </c>
      <c r="R18" s="130"/>
      <c r="S18" s="130"/>
    </row>
    <row r="19" spans="2:20">
      <c r="B19" t="s">
        <v>197</v>
      </c>
      <c r="C19" s="1">
        <v>6</v>
      </c>
      <c r="D19" s="1">
        <v>4</v>
      </c>
      <c r="E19" s="1">
        <v>6</v>
      </c>
      <c r="F19" s="1">
        <v>2</v>
      </c>
      <c r="G19" s="134">
        <f t="shared" si="0"/>
        <v>288</v>
      </c>
      <c r="H19" s="1">
        <f>F19/8</f>
        <v>0.25</v>
      </c>
      <c r="J19" s="1">
        <v>2000</v>
      </c>
      <c r="M19" t="s">
        <v>271</v>
      </c>
      <c r="N19" s="1">
        <v>1</v>
      </c>
      <c r="O19" s="131">
        <v>1</v>
      </c>
      <c r="P19" t="s">
        <v>280</v>
      </c>
      <c r="R19" s="130"/>
      <c r="S19" s="130"/>
    </row>
    <row r="20" spans="2:20">
      <c r="J20" s="1">
        <v>2001</v>
      </c>
      <c r="O20" s="131"/>
      <c r="R20" s="130"/>
      <c r="S20" s="130"/>
    </row>
    <row r="21" spans="2:20">
      <c r="G21" s="133">
        <f>SUM(G2:G19)</f>
        <v>2360</v>
      </c>
      <c r="H21" s="1">
        <f>SUM(H2:H19)</f>
        <v>10.305555555555555</v>
      </c>
      <c r="J21" s="1">
        <v>2002</v>
      </c>
      <c r="M21" t="s">
        <v>270</v>
      </c>
      <c r="N21" s="1">
        <v>1</v>
      </c>
      <c r="O21" s="131">
        <v>1</v>
      </c>
      <c r="P21" t="s">
        <v>281</v>
      </c>
      <c r="R21" s="130"/>
      <c r="S21" s="130"/>
    </row>
    <row r="22" spans="2:20">
      <c r="G22" s="133">
        <v>24</v>
      </c>
      <c r="J22" s="1">
        <v>2003</v>
      </c>
      <c r="M22" t="s">
        <v>286</v>
      </c>
      <c r="O22" s="131"/>
      <c r="R22" s="130"/>
      <c r="S22" s="130"/>
    </row>
    <row r="23" spans="2:20">
      <c r="G23" s="133">
        <f>G21/G22</f>
        <v>98.333333333333329</v>
      </c>
      <c r="J23" s="1">
        <v>2004</v>
      </c>
      <c r="O23" s="131"/>
      <c r="R23" s="122"/>
      <c r="S23" s="122"/>
      <c r="T23" s="132"/>
    </row>
    <row r="24" spans="2:20">
      <c r="G24" s="133">
        <v>12</v>
      </c>
      <c r="J24" s="1">
        <v>2005</v>
      </c>
      <c r="O24" s="122"/>
      <c r="R24" s="130"/>
      <c r="S24" s="130"/>
    </row>
    <row r="25" spans="2:20">
      <c r="G25" s="133">
        <f>G23/G24</f>
        <v>8.1944444444444446</v>
      </c>
      <c r="J25" s="1">
        <v>2006</v>
      </c>
      <c r="O25" s="122"/>
    </row>
    <row r="26" spans="2:20">
      <c r="G26" s="133">
        <f>INT(G25)</f>
        <v>8</v>
      </c>
      <c r="H26" s="1" t="s">
        <v>205</v>
      </c>
      <c r="J26" s="1">
        <v>2007</v>
      </c>
    </row>
    <row r="27" spans="2:20">
      <c r="G27" s="133">
        <f>G25-G26</f>
        <v>0.19444444444444464</v>
      </c>
      <c r="J27" s="1">
        <v>2008</v>
      </c>
      <c r="M27" t="s">
        <v>268</v>
      </c>
      <c r="N27" s="1">
        <v>1</v>
      </c>
      <c r="P27" t="s">
        <v>282</v>
      </c>
    </row>
    <row r="28" spans="2:20">
      <c r="G28" s="133">
        <f>G27*12</f>
        <v>2.3333333333333357</v>
      </c>
      <c r="J28" s="1">
        <v>2009</v>
      </c>
    </row>
    <row r="29" spans="2:20">
      <c r="G29" s="133">
        <f>INT(G28)</f>
        <v>2</v>
      </c>
      <c r="H29" s="1" t="s">
        <v>266</v>
      </c>
      <c r="J29" s="1">
        <v>2010</v>
      </c>
    </row>
    <row r="30" spans="2:20">
      <c r="J30" s="1">
        <v>2011</v>
      </c>
    </row>
    <row r="31" spans="2:20">
      <c r="J31" s="1">
        <v>2012</v>
      </c>
    </row>
    <row r="32" spans="2:20">
      <c r="J32" s="1">
        <v>2013</v>
      </c>
    </row>
    <row r="33" spans="10:16">
      <c r="J33" s="1">
        <v>2014</v>
      </c>
    </row>
    <row r="34" spans="10:16">
      <c r="J34" s="1">
        <v>2015</v>
      </c>
      <c r="M34" t="s">
        <v>269</v>
      </c>
      <c r="N34" s="1">
        <v>1</v>
      </c>
      <c r="O34">
        <v>1</v>
      </c>
      <c r="P34" t="s">
        <v>283</v>
      </c>
    </row>
    <row r="35" spans="10:16">
      <c r="J35" s="1">
        <v>2016</v>
      </c>
      <c r="M35" t="s">
        <v>520</v>
      </c>
    </row>
    <row r="36" spans="10:16">
      <c r="J36" s="1">
        <v>2017</v>
      </c>
      <c r="M36" t="s">
        <v>86</v>
      </c>
      <c r="N36" s="1">
        <v>1</v>
      </c>
      <c r="O36">
        <v>1</v>
      </c>
      <c r="P36" t="s">
        <v>284</v>
      </c>
    </row>
    <row r="37" spans="10:16">
      <c r="J37" s="1">
        <v>2018</v>
      </c>
    </row>
    <row r="38" spans="10:16">
      <c r="J38" s="1">
        <v>2019</v>
      </c>
      <c r="M38" t="s">
        <v>519</v>
      </c>
    </row>
    <row r="39" spans="10:16">
      <c r="N39" s="1">
        <f>SUM(N3:N38)</f>
        <v>9</v>
      </c>
      <c r="O39" s="1">
        <f>SUM(O3:O38)</f>
        <v>8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42"/>
  <sheetViews>
    <sheetView topLeftCell="I1" workbookViewId="0">
      <selection activeCell="W31" sqref="W31"/>
    </sheetView>
  </sheetViews>
  <sheetFormatPr baseColWidth="10" defaultRowHeight="15"/>
  <cols>
    <col min="1" max="1" width="4.140625" customWidth="1"/>
    <col min="2" max="2" width="49.140625" customWidth="1"/>
    <col min="3" max="3" width="6.7109375" style="1" customWidth="1"/>
    <col min="4" max="4" width="11.42578125" style="96"/>
    <col min="5" max="5" width="18.5703125" style="96" bestFit="1" customWidth="1"/>
    <col min="6" max="6" width="18.5703125" style="121" customWidth="1"/>
    <col min="7" max="7" width="3.7109375" style="96" customWidth="1"/>
    <col min="8" max="8" width="2.28515625" style="96" bestFit="1" customWidth="1"/>
    <col min="9" max="9" width="2.140625" style="96" bestFit="1" customWidth="1"/>
    <col min="10" max="10" width="5.85546875" style="96" customWidth="1"/>
    <col min="11" max="11" width="12" style="96" bestFit="1" customWidth="1"/>
    <col min="12" max="12" width="11.42578125" style="96"/>
    <col min="13" max="13" width="2.140625" style="96" bestFit="1" customWidth="1"/>
    <col min="14" max="14" width="16.85546875" style="96" bestFit="1" customWidth="1"/>
    <col min="15" max="15" width="5" style="96" customWidth="1"/>
    <col min="16" max="16" width="12.7109375" style="96" bestFit="1" customWidth="1"/>
    <col min="17" max="17" width="15" style="96" bestFit="1" customWidth="1"/>
    <col min="18" max="18" width="5.85546875" style="96" bestFit="1" customWidth="1"/>
    <col min="19" max="19" width="5.7109375" style="96" bestFit="1" customWidth="1"/>
    <col min="20" max="20" width="5.7109375" style="294" customWidth="1"/>
    <col min="21" max="21" width="7.140625" bestFit="1" customWidth="1"/>
    <col min="22" max="22" width="8.5703125" bestFit="1" customWidth="1"/>
    <col min="23" max="23" width="49.42578125" bestFit="1" customWidth="1"/>
    <col min="24" max="24" width="4.140625" customWidth="1"/>
    <col min="25" max="25" width="69.28515625" bestFit="1" customWidth="1"/>
  </cols>
  <sheetData>
    <row r="2" spans="2:25">
      <c r="H2" s="96" t="s">
        <v>137</v>
      </c>
      <c r="I2" s="96" t="s">
        <v>215</v>
      </c>
      <c r="J2" s="486" t="s">
        <v>220</v>
      </c>
      <c r="K2" s="486"/>
      <c r="L2" s="486"/>
      <c r="P2" s="96" t="s">
        <v>203</v>
      </c>
      <c r="Q2" s="96" t="s">
        <v>204</v>
      </c>
      <c r="U2">
        <f>G29</f>
        <v>3</v>
      </c>
      <c r="V2" s="96" t="s">
        <v>219</v>
      </c>
      <c r="W2" s="96" t="s">
        <v>252</v>
      </c>
      <c r="Y2" t="str">
        <f>U2&amp;V2&amp;W2</f>
        <v>3 Ans   de mathématiques  semi professionnelle compilées</v>
      </c>
    </row>
    <row r="3" spans="2:25">
      <c r="O3" s="96">
        <v>1</v>
      </c>
      <c r="V3" s="96" t="s">
        <v>216</v>
      </c>
      <c r="W3" s="96" t="s">
        <v>249</v>
      </c>
      <c r="Y3" t="str">
        <f>U3&amp;V3&amp;W3</f>
        <v xml:space="preserve"> heures de mathématique scolaire compilées</v>
      </c>
    </row>
    <row r="4" spans="2:25">
      <c r="B4" s="117" t="str">
        <f>Y6</f>
        <v xml:space="preserve">Mathématique annuelle : 23 Années </v>
      </c>
      <c r="D4" s="96" t="s">
        <v>190</v>
      </c>
      <c r="I4" s="96">
        <v>6</v>
      </c>
      <c r="J4" s="96">
        <f>4*9</f>
        <v>36</v>
      </c>
      <c r="K4" s="96">
        <f>I4*J4</f>
        <v>216</v>
      </c>
      <c r="L4" s="96">
        <f>K4</f>
        <v>216</v>
      </c>
      <c r="M4" s="96" t="s">
        <v>215</v>
      </c>
      <c r="O4" s="96">
        <f t="shared" ref="O4:O10" si="0">O3</f>
        <v>1</v>
      </c>
      <c r="U4">
        <f>N29</f>
        <v>5</v>
      </c>
      <c r="V4" s="96" t="str">
        <f>V5</f>
        <v xml:space="preserve"> Années </v>
      </c>
      <c r="W4" s="96" t="s">
        <v>251</v>
      </c>
      <c r="Y4" t="str">
        <f>U4&amp;V4&amp;W4</f>
        <v>5 Années de formules modifiés cumulées</v>
      </c>
    </row>
    <row r="5" spans="2:25">
      <c r="B5" s="117">
        <f>temps!Y8</f>
        <v>0</v>
      </c>
      <c r="C5" s="1">
        <v>1984</v>
      </c>
      <c r="D5" s="122" t="s">
        <v>191</v>
      </c>
      <c r="E5" s="96" t="s">
        <v>218</v>
      </c>
      <c r="F5" s="121">
        <v>1</v>
      </c>
      <c r="G5" s="96">
        <v>1</v>
      </c>
      <c r="H5" s="96">
        <v>1</v>
      </c>
      <c r="I5" s="96">
        <v>6</v>
      </c>
      <c r="J5" s="96">
        <f>4*9</f>
        <v>36</v>
      </c>
      <c r="K5" s="96">
        <f>I5*J5</f>
        <v>216</v>
      </c>
      <c r="L5" s="96">
        <f t="shared" ref="L5:L26" si="1">L4+K5</f>
        <v>432</v>
      </c>
      <c r="M5" s="96" t="s">
        <v>215</v>
      </c>
      <c r="O5" s="122">
        <f t="shared" si="0"/>
        <v>1</v>
      </c>
      <c r="U5">
        <f>H29</f>
        <v>7</v>
      </c>
      <c r="V5" s="96" t="s">
        <v>212</v>
      </c>
      <c r="W5" s="96" t="s">
        <v>253</v>
      </c>
      <c r="Y5" t="str">
        <f>U5&amp;V5&amp;W5</f>
        <v>7 Années formule découverte cumulées</v>
      </c>
    </row>
    <row r="6" spans="2:25">
      <c r="B6" s="119" t="str">
        <f>temps!N29&amp;temps!V4&amp;temps!W4</f>
        <v>5 Années de formules modifiés cumulées</v>
      </c>
      <c r="D6" s="96" t="s">
        <v>192</v>
      </c>
      <c r="I6" s="96">
        <v>6</v>
      </c>
      <c r="J6" s="96">
        <f>4*9</f>
        <v>36</v>
      </c>
      <c r="K6" s="96">
        <f>I6*J6</f>
        <v>216</v>
      </c>
      <c r="L6" s="96">
        <f t="shared" si="1"/>
        <v>648</v>
      </c>
      <c r="M6" s="96" t="s">
        <v>215</v>
      </c>
      <c r="O6" s="96">
        <f t="shared" si="0"/>
        <v>1</v>
      </c>
      <c r="U6">
        <f>O29</f>
        <v>23</v>
      </c>
      <c r="V6" s="96" t="str">
        <f>AA35</f>
        <v xml:space="preserve"> Années </v>
      </c>
      <c r="W6" s="96" t="s">
        <v>225</v>
      </c>
      <c r="Y6" t="str">
        <f>W6&amp;U6&amp;V6</f>
        <v xml:space="preserve">Mathématique annuelle : 23 Années </v>
      </c>
    </row>
    <row r="7" spans="2:25">
      <c r="B7" s="117" t="str">
        <f>temps!Y5</f>
        <v>7 Années formule découverte cumulées</v>
      </c>
      <c r="D7" s="96" t="s">
        <v>193</v>
      </c>
      <c r="I7" s="96">
        <v>6</v>
      </c>
      <c r="J7" s="96">
        <f>4*9</f>
        <v>36</v>
      </c>
      <c r="K7" s="96">
        <f>I7*J7</f>
        <v>216</v>
      </c>
      <c r="L7" s="96">
        <f t="shared" si="1"/>
        <v>864</v>
      </c>
      <c r="M7" s="96" t="s">
        <v>215</v>
      </c>
      <c r="O7" s="96">
        <f t="shared" si="0"/>
        <v>1</v>
      </c>
      <c r="U7">
        <f>L26</f>
        <v>1752</v>
      </c>
      <c r="V7" s="121" t="s">
        <v>216</v>
      </c>
      <c r="W7" s="121" t="s">
        <v>250</v>
      </c>
      <c r="Y7" t="str">
        <f>U7&amp;V7&amp;W7&amp;W8</f>
        <v xml:space="preserve">1752 heures de mathématique hebodomadaire compilées (83 Mois = 7 ans ) </v>
      </c>
    </row>
    <row r="8" spans="2:25">
      <c r="B8" t="str">
        <f>Y10</f>
        <v/>
      </c>
      <c r="D8" s="96" t="s">
        <v>194</v>
      </c>
      <c r="I8" s="96">
        <v>6</v>
      </c>
      <c r="J8" s="96">
        <f>4*9</f>
        <v>36</v>
      </c>
      <c r="K8" s="96">
        <f>I8*J8</f>
        <v>216</v>
      </c>
      <c r="L8" s="96">
        <f t="shared" si="1"/>
        <v>1080</v>
      </c>
      <c r="M8" s="96" t="s">
        <v>215</v>
      </c>
      <c r="O8" s="96">
        <f t="shared" si="0"/>
        <v>1</v>
      </c>
      <c r="U8">
        <f>U7</f>
        <v>1752</v>
      </c>
      <c r="W8" t="str">
        <f>K41</f>
        <v xml:space="preserve"> (83 Mois = 7 ans ) </v>
      </c>
    </row>
    <row r="9" spans="2:25">
      <c r="B9" s="120" t="str">
        <f>Y13</f>
        <v>Temps total du dossier formulée : 1  ans &amp; 9 Mois</v>
      </c>
      <c r="D9" s="96" t="s">
        <v>195</v>
      </c>
      <c r="L9" s="96">
        <f t="shared" si="1"/>
        <v>1080</v>
      </c>
      <c r="M9" s="96" t="s">
        <v>215</v>
      </c>
      <c r="O9" s="96">
        <f t="shared" si="0"/>
        <v>1</v>
      </c>
      <c r="Y9" t="str">
        <f t="shared" ref="Y9:Y10" si="2">U9&amp;V9&amp;W9</f>
        <v/>
      </c>
    </row>
    <row r="10" spans="2:25">
      <c r="B10" t="str">
        <f>Y14</f>
        <v>Durée Moyenne du dossier formulée : 1 Mois</v>
      </c>
      <c r="D10" s="122" t="s">
        <v>196</v>
      </c>
      <c r="H10" s="96">
        <v>1</v>
      </c>
      <c r="I10" s="96">
        <v>4</v>
      </c>
      <c r="J10" s="96">
        <v>36</v>
      </c>
      <c r="K10" s="96">
        <f>I10*J10</f>
        <v>144</v>
      </c>
      <c r="L10" s="96">
        <f t="shared" si="1"/>
        <v>1224</v>
      </c>
      <c r="M10" s="96" t="s">
        <v>215</v>
      </c>
      <c r="N10" s="96">
        <v>1</v>
      </c>
      <c r="O10" s="96">
        <f t="shared" si="0"/>
        <v>1</v>
      </c>
      <c r="Y10" t="str">
        <f t="shared" si="2"/>
        <v/>
      </c>
    </row>
    <row r="11" spans="2:25">
      <c r="B11" t="str">
        <f>Y13</f>
        <v>Temps total du dossier formulée : 1  ans &amp; 9 Mois</v>
      </c>
      <c r="D11" s="96" t="s">
        <v>214</v>
      </c>
      <c r="I11" s="96">
        <v>4</v>
      </c>
      <c r="J11" s="96">
        <v>36</v>
      </c>
      <c r="K11" s="96">
        <f>I11*J11</f>
        <v>144</v>
      </c>
      <c r="L11" s="96">
        <f t="shared" si="1"/>
        <v>1368</v>
      </c>
      <c r="M11" s="96" t="s">
        <v>215</v>
      </c>
      <c r="O11" s="96">
        <v>1</v>
      </c>
      <c r="S11" s="121" t="str">
        <f>K41</f>
        <v xml:space="preserve"> (83 Mois = 7 ans ) </v>
      </c>
      <c r="V11" s="96"/>
    </row>
    <row r="12" spans="2:25">
      <c r="D12" s="96" t="str">
        <f>D11</f>
        <v>BEP Electrotech</v>
      </c>
      <c r="K12" s="96">
        <f>I12*J12</f>
        <v>0</v>
      </c>
      <c r="L12" s="96">
        <f t="shared" si="1"/>
        <v>1368</v>
      </c>
      <c r="M12" s="96" t="s">
        <v>215</v>
      </c>
      <c r="O12" s="96">
        <v>1</v>
      </c>
    </row>
    <row r="13" spans="2:25">
      <c r="C13" s="1">
        <v>1</v>
      </c>
      <c r="D13" s="122" t="s">
        <v>197</v>
      </c>
      <c r="G13" s="96">
        <v>1</v>
      </c>
      <c r="I13" s="96">
        <v>6</v>
      </c>
      <c r="J13" s="96">
        <f>4*8</f>
        <v>32</v>
      </c>
      <c r="K13" s="96">
        <f>I13*J13</f>
        <v>192</v>
      </c>
      <c r="L13" s="96">
        <f t="shared" si="1"/>
        <v>1560</v>
      </c>
      <c r="M13" s="96" t="s">
        <v>215</v>
      </c>
      <c r="N13" s="96">
        <v>1</v>
      </c>
      <c r="O13" s="122">
        <f>O10</f>
        <v>1</v>
      </c>
      <c r="Q13"/>
      <c r="S13" t="str">
        <f>temps!Q31&amp;temps!S31</f>
        <v>1  ans</v>
      </c>
      <c r="T13"/>
      <c r="U13" t="s">
        <v>210</v>
      </c>
      <c r="V13" t="str">
        <f>temps!Q33&amp;temps!S33</f>
        <v>9 Mois</v>
      </c>
      <c r="W13" t="s">
        <v>222</v>
      </c>
      <c r="Y13" t="str">
        <f>W13&amp;S13&amp;U13&amp;V13</f>
        <v>Temps total du dossier formulée : 1  ans &amp; 9 Mois</v>
      </c>
    </row>
    <row r="14" spans="2:25">
      <c r="C14" s="1">
        <v>1</v>
      </c>
      <c r="D14" s="122" t="s">
        <v>197</v>
      </c>
      <c r="E14" s="96" t="s">
        <v>209</v>
      </c>
      <c r="F14" s="121">
        <v>1</v>
      </c>
      <c r="G14" s="96">
        <v>1</v>
      </c>
      <c r="H14" s="96">
        <v>1</v>
      </c>
      <c r="I14" s="96">
        <v>6</v>
      </c>
      <c r="J14" s="96">
        <f>4*8</f>
        <v>32</v>
      </c>
      <c r="K14" s="96">
        <f>I14*J14</f>
        <v>192</v>
      </c>
      <c r="L14" s="96">
        <f t="shared" si="1"/>
        <v>1752</v>
      </c>
      <c r="M14" s="96" t="s">
        <v>215</v>
      </c>
      <c r="N14" s="96">
        <v>1</v>
      </c>
      <c r="O14" s="122">
        <f t="shared" ref="O14:O25" si="3">O13</f>
        <v>1</v>
      </c>
      <c r="U14">
        <v>1</v>
      </c>
      <c r="V14" t="s">
        <v>207</v>
      </c>
      <c r="W14" t="s">
        <v>221</v>
      </c>
      <c r="Y14" t="str">
        <f>W14&amp;U14&amp;V14</f>
        <v>Durée Moyenne du dossier formulée : 1 Mois</v>
      </c>
    </row>
    <row r="15" spans="2:25">
      <c r="D15" s="96">
        <v>1993</v>
      </c>
      <c r="L15" s="96">
        <f t="shared" si="1"/>
        <v>1752</v>
      </c>
      <c r="M15" s="96" t="s">
        <v>215</v>
      </c>
      <c r="N15" s="96">
        <v>1</v>
      </c>
      <c r="O15" s="96">
        <f t="shared" si="3"/>
        <v>1</v>
      </c>
      <c r="P15" s="96">
        <v>1</v>
      </c>
    </row>
    <row r="16" spans="2:25">
      <c r="D16" s="96">
        <v>1995</v>
      </c>
      <c r="H16" s="96">
        <v>1</v>
      </c>
      <c r="L16" s="96">
        <f t="shared" si="1"/>
        <v>1752</v>
      </c>
      <c r="M16" s="96" t="s">
        <v>215</v>
      </c>
      <c r="O16" s="96">
        <f t="shared" si="3"/>
        <v>1</v>
      </c>
      <c r="P16" s="96">
        <v>1</v>
      </c>
      <c r="U16">
        <f>F29</f>
        <v>8</v>
      </c>
      <c r="V16" t="s">
        <v>230</v>
      </c>
      <c r="W16" t="str">
        <f>U16&amp;V16&amp;" / "&amp;U17&amp;V17&amp;" = "&amp;U21&amp;V21</f>
        <v>8 années / 23ans = 34,78%</v>
      </c>
    </row>
    <row r="17" spans="3:27">
      <c r="D17" s="96">
        <v>1999</v>
      </c>
      <c r="E17" s="96" t="s">
        <v>208</v>
      </c>
      <c r="F17" s="121">
        <v>1</v>
      </c>
      <c r="H17" s="96">
        <v>1</v>
      </c>
      <c r="L17" s="96">
        <f t="shared" si="1"/>
        <v>1752</v>
      </c>
      <c r="M17" s="96" t="s">
        <v>215</v>
      </c>
      <c r="N17" s="96">
        <v>1</v>
      </c>
      <c r="O17" s="96">
        <f t="shared" si="3"/>
        <v>1</v>
      </c>
      <c r="U17">
        <f>O29</f>
        <v>23</v>
      </c>
      <c r="V17" t="s">
        <v>205</v>
      </c>
      <c r="W17" t="s">
        <v>231</v>
      </c>
      <c r="Y17" t="str">
        <f>W17&amp;W16</f>
        <v>Nombre d'année d'idée fondamentale : 8 années / 23ans = 34,78%</v>
      </c>
    </row>
    <row r="18" spans="3:27">
      <c r="D18" s="96">
        <v>2000</v>
      </c>
      <c r="L18" s="96">
        <f t="shared" si="1"/>
        <v>1752</v>
      </c>
      <c r="M18" s="96" t="s">
        <v>215</v>
      </c>
      <c r="O18" s="96">
        <f t="shared" si="3"/>
        <v>1</v>
      </c>
      <c r="P18" s="96">
        <v>1</v>
      </c>
      <c r="U18">
        <f>F31</f>
        <v>0.34782608695652173</v>
      </c>
    </row>
    <row r="19" spans="3:27">
      <c r="D19" s="96">
        <v>2001</v>
      </c>
      <c r="E19" s="96" t="s">
        <v>199</v>
      </c>
      <c r="F19" s="121">
        <v>1</v>
      </c>
      <c r="L19" s="96">
        <f t="shared" si="1"/>
        <v>1752</v>
      </c>
      <c r="M19" s="96" t="s">
        <v>215</v>
      </c>
      <c r="O19" s="96">
        <f t="shared" si="3"/>
        <v>1</v>
      </c>
      <c r="P19" s="96">
        <v>1</v>
      </c>
      <c r="U19" s="123">
        <f>U18</f>
        <v>0.34782608695652173</v>
      </c>
      <c r="V19" s="5" t="s">
        <v>149</v>
      </c>
    </row>
    <row r="20" spans="3:27">
      <c r="D20" s="96">
        <v>2002</v>
      </c>
      <c r="E20" s="96" t="s">
        <v>200</v>
      </c>
      <c r="F20" s="121">
        <v>1</v>
      </c>
      <c r="L20" s="96">
        <f t="shared" si="1"/>
        <v>1752</v>
      </c>
      <c r="M20" s="96" t="s">
        <v>215</v>
      </c>
      <c r="O20" s="96">
        <f t="shared" si="3"/>
        <v>1</v>
      </c>
      <c r="U20" t="str">
        <f>MID(U19,1,6)</f>
        <v>0,3478</v>
      </c>
      <c r="Y20" s="119" t="s">
        <v>234</v>
      </c>
    </row>
    <row r="21" spans="3:27">
      <c r="D21" s="96" t="s">
        <v>198</v>
      </c>
      <c r="L21" s="96">
        <f t="shared" si="1"/>
        <v>1752</v>
      </c>
      <c r="M21" s="96" t="s">
        <v>215</v>
      </c>
      <c r="O21" s="96">
        <f t="shared" si="3"/>
        <v>1</v>
      </c>
      <c r="U21">
        <f>U20*100</f>
        <v>34.78</v>
      </c>
      <c r="V21" t="str">
        <f>V19</f>
        <v>%</v>
      </c>
      <c r="Y21" s="119" t="str">
        <f>Y7</f>
        <v xml:space="preserve">1752 heures de mathématique hebodomadaire compilées (83 Mois = 7 ans ) </v>
      </c>
    </row>
    <row r="22" spans="3:27">
      <c r="D22" s="96">
        <v>2007</v>
      </c>
      <c r="L22" s="96">
        <f t="shared" si="1"/>
        <v>1752</v>
      </c>
      <c r="M22" s="96" t="s">
        <v>215</v>
      </c>
      <c r="O22" s="96">
        <f t="shared" si="3"/>
        <v>1</v>
      </c>
      <c r="Y22" s="119" t="s">
        <v>224</v>
      </c>
    </row>
    <row r="23" spans="3:27">
      <c r="D23" s="96">
        <v>2008</v>
      </c>
      <c r="E23" s="96" t="s">
        <v>201</v>
      </c>
      <c r="F23" s="121">
        <v>1</v>
      </c>
      <c r="L23" s="96">
        <f t="shared" si="1"/>
        <v>1752</v>
      </c>
      <c r="M23" s="96" t="s">
        <v>215</v>
      </c>
      <c r="O23" s="96">
        <f t="shared" si="3"/>
        <v>1</v>
      </c>
      <c r="Y23" t="s">
        <v>244</v>
      </c>
    </row>
    <row r="24" spans="3:27">
      <c r="D24" s="96">
        <v>2009</v>
      </c>
      <c r="L24" s="96">
        <f t="shared" si="1"/>
        <v>1752</v>
      </c>
      <c r="M24" s="96" t="s">
        <v>215</v>
      </c>
      <c r="O24" s="122">
        <f t="shared" si="3"/>
        <v>1</v>
      </c>
      <c r="P24" s="96">
        <v>1</v>
      </c>
      <c r="Y24" t="s">
        <v>232</v>
      </c>
    </row>
    <row r="25" spans="3:27">
      <c r="D25" s="122">
        <v>2015</v>
      </c>
      <c r="E25" s="96" t="s">
        <v>202</v>
      </c>
      <c r="F25" s="121">
        <v>1</v>
      </c>
      <c r="H25" s="96">
        <v>1</v>
      </c>
      <c r="L25" s="96">
        <f t="shared" si="1"/>
        <v>1752</v>
      </c>
      <c r="M25" s="96" t="s">
        <v>215</v>
      </c>
      <c r="O25" s="122">
        <f t="shared" si="3"/>
        <v>1</v>
      </c>
      <c r="P25" s="96">
        <v>1</v>
      </c>
      <c r="Y25" s="119"/>
    </row>
    <row r="26" spans="3:27">
      <c r="D26" s="122">
        <v>2017</v>
      </c>
      <c r="E26" s="96" t="s">
        <v>86</v>
      </c>
      <c r="F26" s="121">
        <v>1</v>
      </c>
      <c r="H26" s="96">
        <v>1</v>
      </c>
      <c r="L26" s="96">
        <f t="shared" si="1"/>
        <v>1752</v>
      </c>
      <c r="M26" s="96" t="s">
        <v>215</v>
      </c>
      <c r="Q26" s="96">
        <v>21</v>
      </c>
      <c r="Y26" s="119" t="s">
        <v>227</v>
      </c>
    </row>
    <row r="27" spans="3:27">
      <c r="D27" s="122"/>
      <c r="Y27" s="119" t="s">
        <v>233</v>
      </c>
    </row>
    <row r="28" spans="3:27">
      <c r="D28" s="122"/>
      <c r="Y28" s="119" t="s">
        <v>236</v>
      </c>
    </row>
    <row r="29" spans="3:27">
      <c r="C29" s="1">
        <v>2</v>
      </c>
      <c r="F29" s="121">
        <f>SUM(F5:F26)</f>
        <v>8</v>
      </c>
      <c r="G29" s="96">
        <f>SUM(G4:G26)</f>
        <v>3</v>
      </c>
      <c r="H29" s="96">
        <f>SUM(H4:H26)</f>
        <v>7</v>
      </c>
      <c r="K29" s="96">
        <f>SUM(K4:K26)</f>
        <v>1752</v>
      </c>
      <c r="N29" s="96">
        <f>SUM(N4:N26)</f>
        <v>5</v>
      </c>
      <c r="O29" s="96">
        <f>F30</f>
        <v>23</v>
      </c>
      <c r="P29" s="96">
        <f>SUM(P4:P26)</f>
        <v>6</v>
      </c>
      <c r="Q29" s="96">
        <v>12</v>
      </c>
      <c r="Y29" s="119" t="s">
        <v>223</v>
      </c>
    </row>
    <row r="30" spans="3:27">
      <c r="E30" s="96" t="s">
        <v>411</v>
      </c>
      <c r="F30" s="121">
        <v>23</v>
      </c>
      <c r="Q30" s="96">
        <f>Q26/Q29</f>
        <v>1.75</v>
      </c>
      <c r="Y30" s="119" t="s">
        <v>226</v>
      </c>
      <c r="Z30" s="96"/>
    </row>
    <row r="31" spans="3:27">
      <c r="E31" s="98" t="s">
        <v>104</v>
      </c>
      <c r="F31" s="121">
        <f>F29/F30</f>
        <v>0.34782608695652173</v>
      </c>
      <c r="K31" s="96">
        <v>12</v>
      </c>
      <c r="Q31" s="96">
        <f>INT(Q30)</f>
        <v>1</v>
      </c>
      <c r="S31" s="96" t="s">
        <v>206</v>
      </c>
      <c r="Y31" s="117" t="s">
        <v>228</v>
      </c>
      <c r="Z31" s="96"/>
    </row>
    <row r="32" spans="3:27">
      <c r="K32" s="96">
        <f>K42/K31</f>
        <v>6.9523809523809526</v>
      </c>
      <c r="L32" s="96" t="s">
        <v>205</v>
      </c>
      <c r="Q32" s="96">
        <f>Q30-Q31</f>
        <v>0.75</v>
      </c>
      <c r="V32" s="96"/>
      <c r="Y32" s="117" t="s">
        <v>229</v>
      </c>
      <c r="Z32" s="96"/>
      <c r="AA32" s="96"/>
    </row>
    <row r="33" spans="11:28">
      <c r="K33" s="96">
        <f>ROUND(K32,1)</f>
        <v>7</v>
      </c>
      <c r="L33" s="96" t="s">
        <v>211</v>
      </c>
      <c r="Q33" s="96">
        <f>Q32*12</f>
        <v>9</v>
      </c>
      <c r="S33" s="96" t="s">
        <v>207</v>
      </c>
      <c r="U33" s="96"/>
      <c r="Y33" t="s">
        <v>235</v>
      </c>
      <c r="Z33" s="96"/>
      <c r="AA33" s="96"/>
    </row>
    <row r="34" spans="11:28">
      <c r="K34" s="96">
        <f>ROUND(K42,0)</f>
        <v>83</v>
      </c>
      <c r="L34" s="96" t="s">
        <v>207</v>
      </c>
      <c r="Q34" s="96" t="str">
        <f>Q31&amp;Q33</f>
        <v>19</v>
      </c>
      <c r="U34" s="96"/>
      <c r="V34" s="96"/>
      <c r="X34" s="96"/>
      <c r="Y34" s="96"/>
      <c r="Z34" s="96"/>
      <c r="AA34" s="96"/>
      <c r="AB34" s="96"/>
    </row>
    <row r="35" spans="11:28">
      <c r="Q35" s="96" t="s">
        <v>207</v>
      </c>
      <c r="U35" s="96"/>
      <c r="V35" s="96"/>
      <c r="X35" s="96"/>
      <c r="Y35" s="96"/>
      <c r="Z35" s="96"/>
      <c r="AA35" s="96" t="str">
        <f>V5</f>
        <v xml:space="preserve"> Années </v>
      </c>
      <c r="AB35" s="96"/>
    </row>
    <row r="36" spans="11:28">
      <c r="K36" s="96" t="s">
        <v>153</v>
      </c>
      <c r="Q36" s="96" t="str">
        <f>Q34&amp;Q35</f>
        <v>19 Mois</v>
      </c>
      <c r="U36" s="96"/>
      <c r="V36" s="96"/>
      <c r="X36" s="96"/>
      <c r="Y36" s="96"/>
      <c r="Z36" s="96"/>
      <c r="AA36" s="96" t="s">
        <v>213</v>
      </c>
      <c r="AB36" s="96"/>
    </row>
    <row r="37" spans="11:28">
      <c r="K37" s="96" t="str">
        <f>K33&amp;L33</f>
        <v>7 ans</v>
      </c>
      <c r="V37" s="96"/>
      <c r="Z37" s="96"/>
      <c r="AA37" s="96"/>
      <c r="AB37" s="96"/>
    </row>
    <row r="38" spans="11:28">
      <c r="K38" s="98" t="s">
        <v>147</v>
      </c>
    </row>
    <row r="39" spans="11:28">
      <c r="K39" s="96" t="str">
        <f>K34&amp;L34</f>
        <v>83 Mois</v>
      </c>
    </row>
    <row r="40" spans="11:28">
      <c r="K40" s="96" t="s">
        <v>217</v>
      </c>
    </row>
    <row r="41" spans="11:28">
      <c r="K41" s="96" t="str">
        <f>K40&amp;K39&amp;K38&amp;K37&amp;K36</f>
        <v xml:space="preserve"> (83 Mois = 7 ans ) </v>
      </c>
    </row>
    <row r="42" spans="11:28">
      <c r="K42" s="96">
        <f>K29/21</f>
        <v>83.428571428571431</v>
      </c>
    </row>
  </sheetData>
  <mergeCells count="1">
    <mergeCell ref="J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3</vt:i4>
      </vt:variant>
    </vt:vector>
  </HeadingPairs>
  <TitlesOfParts>
    <vt:vector size="12" baseType="lpstr">
      <vt:lpstr>nb formule</vt:lpstr>
      <vt:lpstr>nb form photos</vt:lpstr>
      <vt:lpstr>nb pages</vt:lpstr>
      <vt:lpstr>découverte</vt:lpstr>
      <vt:lpstr>objet construit</vt:lpstr>
      <vt:lpstr>Nb Pts fictifs</vt:lpstr>
      <vt:lpstr>nb form fictiv</vt:lpstr>
      <vt:lpstr>Temps 2</vt:lpstr>
      <vt:lpstr>temps</vt:lpstr>
      <vt:lpstr>a_1</vt:lpstr>
      <vt:lpstr>m_1</vt:lpstr>
      <vt:lpstr>s_1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Axelle</dc:creator>
  <cp:lastModifiedBy>AFI-Multimédia</cp:lastModifiedBy>
  <cp:lastPrinted>2017-04-15T02:02:32Z</cp:lastPrinted>
  <dcterms:created xsi:type="dcterms:W3CDTF">2017-01-01T12:39:40Z</dcterms:created>
  <dcterms:modified xsi:type="dcterms:W3CDTF">2019-11-27T13:31:43Z</dcterms:modified>
</cp:coreProperties>
</file>