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) DOCS\B) Science numérique (1,5 Go)\A) Essaies Mathématiques\00) Formulaire\"/>
    </mc:Choice>
  </mc:AlternateContent>
  <bookViews>
    <workbookView xWindow="0" yWindow="140760" windowWidth="13770" windowHeight="9705" tabRatio="489"/>
  </bookViews>
  <sheets>
    <sheet name="nb formule" sheetId="1" r:id="rId1"/>
    <sheet name="nb form photos" sheetId="6" r:id="rId2"/>
    <sheet name="nb pages" sheetId="7" r:id="rId3"/>
    <sheet name="découverte" sheetId="3" r:id="rId4"/>
    <sheet name="objet construit" sheetId="2" r:id="rId5"/>
    <sheet name="Temps 2" sheetId="5" r:id="rId6"/>
    <sheet name="temps" sheetId="4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6" i="1" l="1"/>
  <c r="N116" i="1"/>
  <c r="O78" i="1"/>
  <c r="O44" i="1"/>
  <c r="O28" i="1"/>
  <c r="R154" i="1" l="1"/>
  <c r="P154" i="1"/>
  <c r="P155" i="1" s="1"/>
  <c r="P156" i="1" s="1"/>
  <c r="P157" i="1" s="1"/>
  <c r="P158" i="1" s="1"/>
  <c r="M154" i="1"/>
  <c r="M155" i="1"/>
  <c r="M156" i="1" s="1"/>
  <c r="M157" i="1" s="1"/>
  <c r="M158" i="1" s="1"/>
  <c r="P153" i="1"/>
  <c r="R153" i="1" s="1"/>
  <c r="R155" i="1" s="1"/>
  <c r="R156" i="1" s="1"/>
  <c r="R157" i="1" s="1"/>
  <c r="R158" i="1" s="1"/>
  <c r="P105" i="1"/>
  <c r="R105" i="1" s="1"/>
  <c r="N146" i="1"/>
  <c r="R146" i="1" s="1"/>
  <c r="V146" i="1" s="1"/>
  <c r="Y146" i="1" s="1"/>
  <c r="N147" i="1"/>
  <c r="P147" i="1" s="1"/>
  <c r="N148" i="1"/>
  <c r="R148" i="1"/>
  <c r="V148" i="1"/>
  <c r="Y148" i="1" s="1"/>
  <c r="N149" i="1"/>
  <c r="R149" i="1" s="1"/>
  <c r="V149" i="1" s="1"/>
  <c r="Y149" i="1" s="1"/>
  <c r="N150" i="1"/>
  <c r="R150" i="1" s="1"/>
  <c r="V150" i="1" s="1"/>
  <c r="Y150" i="1" s="1"/>
  <c r="Q145" i="1"/>
  <c r="R147" i="1" l="1"/>
  <c r="V147" i="1" s="1"/>
  <c r="Y147" i="1" s="1"/>
  <c r="R137" i="1" l="1"/>
  <c r="P137" i="1"/>
  <c r="M137" i="1"/>
  <c r="E146" i="1"/>
  <c r="E143" i="1"/>
  <c r="E145" i="1" s="1"/>
  <c r="F129" i="1"/>
  <c r="AE44" i="1"/>
  <c r="N28" i="1"/>
  <c r="G28" i="1" l="1"/>
  <c r="D28" i="1"/>
  <c r="B27" i="1"/>
  <c r="C27" i="1"/>
  <c r="B71" i="1" l="1"/>
  <c r="C71" i="1" s="1"/>
  <c r="D71" i="1"/>
  <c r="D72" i="1" s="1"/>
  <c r="B72" i="1"/>
  <c r="C72" i="1" s="1"/>
  <c r="E10" i="7" l="1"/>
  <c r="H8" i="7"/>
  <c r="H42" i="7"/>
  <c r="H10" i="7"/>
  <c r="K8" i="7"/>
  <c r="G8" i="7" l="1"/>
  <c r="H12" i="7"/>
  <c r="H13" i="7"/>
  <c r="H15" i="7"/>
  <c r="K27" i="7"/>
  <c r="J8" i="7"/>
  <c r="K42" i="7" l="1"/>
  <c r="K33" i="7"/>
  <c r="K40" i="7"/>
  <c r="D8" i="7"/>
  <c r="C8" i="7"/>
  <c r="H28" i="7"/>
  <c r="E28" i="7" s="1"/>
  <c r="K18" i="7"/>
  <c r="K19" i="7"/>
  <c r="K20" i="7"/>
  <c r="K21" i="7"/>
  <c r="K22" i="7"/>
  <c r="K23" i="7"/>
  <c r="K24" i="7"/>
  <c r="K25" i="7"/>
  <c r="K30" i="7"/>
  <c r="K31" i="7"/>
  <c r="K36" i="7"/>
  <c r="K37" i="7"/>
  <c r="K38" i="7"/>
  <c r="H17" i="7"/>
  <c r="K17" i="7" s="1"/>
  <c r="H16" i="7"/>
  <c r="K16" i="7" s="1"/>
  <c r="K15" i="7"/>
  <c r="H14" i="7"/>
  <c r="K14" i="7" s="1"/>
  <c r="K12" i="7"/>
  <c r="H34" i="7"/>
  <c r="E34" i="7" s="1"/>
  <c r="I34" i="7"/>
  <c r="I28" i="7" s="1"/>
  <c r="H2" i="7"/>
  <c r="I10" i="7"/>
  <c r="I42" i="7" s="1"/>
  <c r="I8" i="7" s="1"/>
  <c r="B60" i="1"/>
  <c r="B55" i="1"/>
  <c r="C55" i="1" s="1"/>
  <c r="E8" i="7" l="1"/>
  <c r="E5" i="7" s="1"/>
  <c r="K13" i="7"/>
  <c r="F132" i="1"/>
  <c r="J132" i="1" s="1"/>
  <c r="F131" i="1"/>
  <c r="J131" i="1" s="1"/>
  <c r="F130" i="1"/>
  <c r="J130" i="1" s="1"/>
  <c r="J129" i="1"/>
  <c r="F128" i="1"/>
  <c r="J128" i="1" s="1"/>
  <c r="F99" i="1"/>
  <c r="F101" i="1"/>
  <c r="F100" i="1"/>
  <c r="N129" i="1" l="1"/>
  <c r="J103" i="1"/>
  <c r="J135" i="1"/>
  <c r="AF29" i="1"/>
  <c r="AF30" i="1"/>
  <c r="AF31" i="1"/>
  <c r="AF45" i="1"/>
  <c r="AF46" i="1"/>
  <c r="AF49" i="1"/>
  <c r="AC28" i="1"/>
  <c r="AC44" i="1"/>
  <c r="AC78" i="1"/>
  <c r="AE50" i="1" l="1"/>
  <c r="AF50" i="1" s="1"/>
  <c r="AE51" i="1"/>
  <c r="AF51" i="1" s="1"/>
  <c r="AE52" i="1"/>
  <c r="AF52" i="1" s="1"/>
  <c r="AE54" i="1"/>
  <c r="AF54" i="1" s="1"/>
  <c r="AE56" i="1"/>
  <c r="AF56" i="1" s="1"/>
  <c r="AE57" i="1"/>
  <c r="AF57" i="1" s="1"/>
  <c r="AE58" i="1"/>
  <c r="AF58" i="1" s="1"/>
  <c r="AE59" i="1"/>
  <c r="AF59" i="1" s="1"/>
  <c r="AE60" i="1"/>
  <c r="AF60" i="1" s="1"/>
  <c r="AE61" i="1"/>
  <c r="AF61" i="1" s="1"/>
  <c r="AE62" i="1"/>
  <c r="AF62" i="1" s="1"/>
  <c r="AE63" i="1"/>
  <c r="AF63" i="1" s="1"/>
  <c r="AE64" i="1"/>
  <c r="AF64" i="1" s="1"/>
  <c r="AE65" i="1"/>
  <c r="AF65" i="1" s="1"/>
  <c r="AE66" i="1"/>
  <c r="AF66" i="1" s="1"/>
  <c r="AE67" i="1"/>
  <c r="AF67" i="1" s="1"/>
  <c r="AE71" i="1"/>
  <c r="AF71" i="1" s="1"/>
  <c r="AE72" i="1"/>
  <c r="AF72" i="1" s="1"/>
  <c r="AE73" i="1"/>
  <c r="AF73" i="1" s="1"/>
  <c r="AE74" i="1"/>
  <c r="AF74" i="1" s="1"/>
  <c r="AE75" i="1"/>
  <c r="AF75" i="1" s="1"/>
  <c r="AE76" i="1"/>
  <c r="AF76" i="1" s="1"/>
  <c r="AE77" i="1"/>
  <c r="AF77" i="1" s="1"/>
  <c r="AE48" i="1"/>
  <c r="AF48" i="1" s="1"/>
  <c r="AE33" i="1"/>
  <c r="AF33" i="1" s="1"/>
  <c r="AE34" i="1"/>
  <c r="AF34" i="1" s="1"/>
  <c r="AE35" i="1"/>
  <c r="AF35" i="1" s="1"/>
  <c r="AE36" i="1"/>
  <c r="AF36" i="1" s="1"/>
  <c r="AE37" i="1"/>
  <c r="AF37" i="1" s="1"/>
  <c r="AE38" i="1"/>
  <c r="AF38" i="1" s="1"/>
  <c r="AF39" i="1"/>
  <c r="AE40" i="1"/>
  <c r="AF40" i="1" s="1"/>
  <c r="AE41" i="1"/>
  <c r="AF41" i="1" s="1"/>
  <c r="AE42" i="1"/>
  <c r="AF42" i="1" s="1"/>
  <c r="AE43" i="1"/>
  <c r="AF43" i="1" s="1"/>
  <c r="AE32" i="1"/>
  <c r="AF32" i="1" s="1"/>
  <c r="AE6" i="1"/>
  <c r="AF6" i="1" s="1"/>
  <c r="AE7" i="1"/>
  <c r="AF7" i="1" s="1"/>
  <c r="AE8" i="1"/>
  <c r="AF8" i="1" s="1"/>
  <c r="AE9" i="1"/>
  <c r="AF9" i="1" s="1"/>
  <c r="AE10" i="1"/>
  <c r="AF10" i="1" s="1"/>
  <c r="AE11" i="1"/>
  <c r="AF11" i="1" s="1"/>
  <c r="AE12" i="1"/>
  <c r="AF12" i="1" s="1"/>
  <c r="AE13" i="1"/>
  <c r="AF13" i="1" s="1"/>
  <c r="AE14" i="1"/>
  <c r="AF14" i="1" s="1"/>
  <c r="AE15" i="1"/>
  <c r="AF15" i="1" s="1"/>
  <c r="AE16" i="1"/>
  <c r="AF16" i="1" s="1"/>
  <c r="AE17" i="1"/>
  <c r="AF17" i="1" s="1"/>
  <c r="AE18" i="1"/>
  <c r="AF18" i="1" s="1"/>
  <c r="AE20" i="1"/>
  <c r="AF20" i="1" s="1"/>
  <c r="AE21" i="1"/>
  <c r="AF21" i="1" s="1"/>
  <c r="AE22" i="1"/>
  <c r="AF22" i="1" s="1"/>
  <c r="AE23" i="1"/>
  <c r="AF23" i="1" s="1"/>
  <c r="AE24" i="1"/>
  <c r="AF24" i="1" s="1"/>
  <c r="AE25" i="1"/>
  <c r="AF25" i="1" s="1"/>
  <c r="AE26" i="1"/>
  <c r="AF26" i="1" s="1"/>
  <c r="AE5" i="1"/>
  <c r="AF5" i="1" s="1"/>
  <c r="AF44" i="1" l="1"/>
  <c r="AF83" i="1" s="1"/>
  <c r="AF90" i="1" s="1"/>
  <c r="AE47" i="1"/>
  <c r="AE81" i="1"/>
  <c r="N22" i="6" l="1"/>
  <c r="O22" i="6"/>
  <c r="P22" i="6"/>
  <c r="Q22" i="6"/>
  <c r="R22" i="6"/>
  <c r="U22" i="6"/>
  <c r="V22" i="6"/>
  <c r="N23" i="6"/>
  <c r="O23" i="6"/>
  <c r="P23" i="6"/>
  <c r="Q23" i="6"/>
  <c r="R23" i="6"/>
  <c r="S23" i="6"/>
  <c r="U23" i="6"/>
  <c r="V23" i="6"/>
  <c r="N24" i="6"/>
  <c r="O24" i="6"/>
  <c r="P24" i="6"/>
  <c r="Q24" i="6"/>
  <c r="R24" i="6"/>
  <c r="S24" i="6"/>
  <c r="U24" i="6"/>
  <c r="V24" i="6"/>
  <c r="N25" i="6"/>
  <c r="O25" i="6"/>
  <c r="P25" i="6"/>
  <c r="Q25" i="6"/>
  <c r="R25" i="6"/>
  <c r="S25" i="6"/>
  <c r="U25" i="6"/>
  <c r="V25" i="6"/>
  <c r="N26" i="6"/>
  <c r="O26" i="6"/>
  <c r="P26" i="6"/>
  <c r="Q26" i="6"/>
  <c r="R26" i="6"/>
  <c r="S26" i="6"/>
  <c r="V26" i="6"/>
  <c r="N27" i="6"/>
  <c r="O27" i="6"/>
  <c r="P27" i="6"/>
  <c r="Q27" i="6"/>
  <c r="R27" i="6"/>
  <c r="S27" i="6"/>
  <c r="U27" i="6"/>
  <c r="V27" i="6"/>
  <c r="N28" i="6"/>
  <c r="O28" i="6"/>
  <c r="P28" i="6"/>
  <c r="Q28" i="6"/>
  <c r="R28" i="6"/>
  <c r="S28" i="6"/>
  <c r="U28" i="6"/>
  <c r="V28" i="6"/>
  <c r="N29" i="6"/>
  <c r="O29" i="6"/>
  <c r="P29" i="6"/>
  <c r="Q29" i="6"/>
  <c r="R29" i="6"/>
  <c r="S29" i="6"/>
  <c r="T29" i="6"/>
  <c r="U29" i="6"/>
  <c r="V29" i="6"/>
  <c r="N15" i="6"/>
  <c r="P14" i="6"/>
  <c r="Q14" i="6"/>
  <c r="R14" i="6"/>
  <c r="S14" i="6"/>
  <c r="U14" i="6"/>
  <c r="V14" i="6"/>
  <c r="P15" i="6"/>
  <c r="Q15" i="6"/>
  <c r="R15" i="6"/>
  <c r="S15" i="6"/>
  <c r="U15" i="6"/>
  <c r="V15" i="6"/>
  <c r="P16" i="6"/>
  <c r="Q16" i="6"/>
  <c r="R16" i="6"/>
  <c r="S16" i="6"/>
  <c r="U16" i="6"/>
  <c r="V16" i="6"/>
  <c r="P17" i="6"/>
  <c r="Q17" i="6"/>
  <c r="R17" i="6"/>
  <c r="S17" i="6"/>
  <c r="U17" i="6"/>
  <c r="V17" i="6"/>
  <c r="P18" i="6"/>
  <c r="Q18" i="6"/>
  <c r="R18" i="6"/>
  <c r="S18" i="6"/>
  <c r="U18" i="6"/>
  <c r="V18" i="6"/>
  <c r="P19" i="6"/>
  <c r="Q19" i="6"/>
  <c r="R19" i="6"/>
  <c r="S19" i="6"/>
  <c r="U19" i="6"/>
  <c r="V19" i="6"/>
  <c r="P20" i="6"/>
  <c r="Q20" i="6"/>
  <c r="R20" i="6"/>
  <c r="S20" i="6"/>
  <c r="U20" i="6"/>
  <c r="V20" i="6"/>
  <c r="P21" i="6"/>
  <c r="Q21" i="6"/>
  <c r="R21" i="6"/>
  <c r="S21" i="6"/>
  <c r="T21" i="6"/>
  <c r="V21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O29" i="4" l="1"/>
  <c r="U17" i="4" s="1"/>
  <c r="AE22" i="2"/>
  <c r="AE21" i="2"/>
  <c r="AE20" i="2"/>
  <c r="AE19" i="2"/>
  <c r="AE18" i="2"/>
  <c r="B48" i="1" l="1"/>
  <c r="AA41" i="2" l="1"/>
  <c r="AB41" i="2"/>
  <c r="Z41" i="2"/>
  <c r="W41" i="2"/>
  <c r="W43" i="2" s="1"/>
  <c r="X41" i="2"/>
  <c r="V41" i="2"/>
  <c r="Z42" i="2" l="1"/>
  <c r="V42" i="2"/>
  <c r="N125" i="1"/>
  <c r="P125" i="1"/>
  <c r="I125" i="1"/>
  <c r="N124" i="1"/>
  <c r="P124" i="1"/>
  <c r="R124" i="1" s="1"/>
  <c r="I124" i="1"/>
  <c r="N123" i="1"/>
  <c r="P123" i="1"/>
  <c r="I123" i="1"/>
  <c r="N121" i="1"/>
  <c r="P121" i="1"/>
  <c r="I121" i="1"/>
  <c r="P122" i="1"/>
  <c r="I122" i="1"/>
  <c r="AB78" i="1" l="1"/>
  <c r="AB46" i="1"/>
  <c r="AB44" i="1"/>
  <c r="AB30" i="1"/>
  <c r="AB28" i="1"/>
  <c r="O100" i="1"/>
  <c r="CC84" i="1"/>
  <c r="V53" i="1"/>
  <c r="V44" i="1"/>
  <c r="V90" i="1" s="1"/>
  <c r="V19" i="1"/>
  <c r="N78" i="1"/>
  <c r="N90" i="1" s="1"/>
  <c r="N44" i="1"/>
  <c r="N89" i="1"/>
  <c r="M78" i="1"/>
  <c r="M90" i="1" s="1"/>
  <c r="M44" i="1"/>
  <c r="M28" i="1"/>
  <c r="M89" i="1" s="1"/>
  <c r="G78" i="1"/>
  <c r="G90" i="1" s="1"/>
  <c r="G44" i="1"/>
  <c r="G91" i="1" s="1"/>
  <c r="G89" i="1"/>
  <c r="V78" i="1" l="1"/>
  <c r="V91" i="1" s="1"/>
  <c r="AE53" i="1"/>
  <c r="V28" i="1"/>
  <c r="AE19" i="1"/>
  <c r="AB82" i="1"/>
  <c r="M82" i="1"/>
  <c r="N82" i="1"/>
  <c r="N93" i="1" s="1"/>
  <c r="N91" i="1"/>
  <c r="M91" i="1"/>
  <c r="M93" i="1" s="1"/>
  <c r="G93" i="1"/>
  <c r="BT84" i="1" s="1"/>
  <c r="V82" i="1" l="1"/>
  <c r="V89" i="1"/>
  <c r="V93" i="1" s="1"/>
  <c r="O95" i="1" s="1"/>
  <c r="AF53" i="1"/>
  <c r="AF78" i="1" s="1"/>
  <c r="AF84" i="1" s="1"/>
  <c r="AF91" i="1" s="1"/>
  <c r="AE78" i="1"/>
  <c r="AF19" i="1"/>
  <c r="AF28" i="1" s="1"/>
  <c r="AF82" i="1" s="1"/>
  <c r="AF89" i="1" s="1"/>
  <c r="AE28" i="1"/>
  <c r="M95" i="1"/>
  <c r="BT46" i="1"/>
  <c r="AF93" i="1" l="1"/>
  <c r="AB94" i="1" s="1"/>
  <c r="L116" i="1" s="1"/>
  <c r="AE82" i="1"/>
  <c r="X74" i="1" l="1"/>
  <c r="U26" i="6" s="1"/>
  <c r="S71" i="1"/>
  <c r="T23" i="6" s="1"/>
  <c r="S72" i="1"/>
  <c r="T24" i="6" s="1"/>
  <c r="S73" i="1"/>
  <c r="T25" i="6" s="1"/>
  <c r="S74" i="1"/>
  <c r="T26" i="6" s="1"/>
  <c r="S75" i="1"/>
  <c r="T27" i="6" s="1"/>
  <c r="P6" i="6" l="1"/>
  <c r="P7" i="6"/>
  <c r="P8" i="6"/>
  <c r="P9" i="6"/>
  <c r="P10" i="6"/>
  <c r="P11" i="6"/>
  <c r="P12" i="6"/>
  <c r="P13" i="6"/>
  <c r="P5" i="6"/>
  <c r="P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AB90" i="1" l="1"/>
  <c r="K114" i="1" s="1"/>
  <c r="AB91" i="1"/>
  <c r="L114" i="1" s="1"/>
  <c r="AB89" i="1" l="1"/>
  <c r="J81" i="1"/>
  <c r="C10" i="1"/>
  <c r="C14" i="1"/>
  <c r="C23" i="1"/>
  <c r="C25" i="1"/>
  <c r="C29" i="1"/>
  <c r="C32" i="1"/>
  <c r="C41" i="1"/>
  <c r="C48" i="1"/>
  <c r="C52" i="1"/>
  <c r="C60" i="1"/>
  <c r="C79" i="1"/>
  <c r="C86" i="1"/>
  <c r="C89" i="1" l="1"/>
  <c r="BV28" i="1"/>
  <c r="AB93" i="1"/>
  <c r="AB100" i="1" s="1"/>
  <c r="J114" i="1"/>
  <c r="C81" i="1"/>
  <c r="B7" i="1"/>
  <c r="C7" i="1" s="1"/>
  <c r="B8" i="1"/>
  <c r="C8" i="1" s="1"/>
  <c r="B9" i="1"/>
  <c r="C9" i="1" s="1"/>
  <c r="B10" i="1"/>
  <c r="B11" i="1"/>
  <c r="C11" i="1" s="1"/>
  <c r="B12" i="1"/>
  <c r="C12" i="1" s="1"/>
  <c r="B13" i="1"/>
  <c r="C13" i="1" s="1"/>
  <c r="B14" i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B24" i="1"/>
  <c r="C24" i="1" s="1"/>
  <c r="B26" i="1"/>
  <c r="C26" i="1" s="1"/>
  <c r="B50" i="1"/>
  <c r="C50" i="1" s="1"/>
  <c r="B51" i="1"/>
  <c r="C51" i="1" s="1"/>
  <c r="B52" i="1"/>
  <c r="B53" i="1"/>
  <c r="C53" i="1" s="1"/>
  <c r="B54" i="1"/>
  <c r="C54" i="1" s="1"/>
  <c r="B56" i="1"/>
  <c r="C56" i="1" s="1"/>
  <c r="B57" i="1"/>
  <c r="C57" i="1" s="1"/>
  <c r="B58" i="1"/>
  <c r="C58" i="1" s="1"/>
  <c r="B59" i="1"/>
  <c r="C59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C66" i="1" s="1"/>
  <c r="B67" i="1"/>
  <c r="C67" i="1" s="1"/>
  <c r="B73" i="1"/>
  <c r="C73" i="1" s="1"/>
  <c r="B74" i="1"/>
  <c r="C74" i="1" s="1"/>
  <c r="B75" i="1"/>
  <c r="C75" i="1" s="1"/>
  <c r="B76" i="1"/>
  <c r="C76" i="1" s="1"/>
  <c r="B77" i="1"/>
  <c r="C77" i="1" s="1"/>
  <c r="AB95" i="1" l="1"/>
  <c r="L115" i="1"/>
  <c r="Q28" i="1"/>
  <c r="X28" i="1"/>
  <c r="Y28" i="1"/>
  <c r="AJ28" i="1"/>
  <c r="AK28" i="1"/>
  <c r="J31" i="1"/>
  <c r="J47" i="1" s="1"/>
  <c r="O114" i="1" l="1"/>
  <c r="O115" i="1" s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5" i="1"/>
  <c r="AM49" i="1" l="1"/>
  <c r="AM50" i="1"/>
  <c r="AM51" i="1"/>
  <c r="AM52" i="1"/>
  <c r="AM53" i="1"/>
  <c r="AM54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71" i="1"/>
  <c r="AM72" i="1"/>
  <c r="AM73" i="1"/>
  <c r="AM74" i="1"/>
  <c r="AM75" i="1"/>
  <c r="AM76" i="1"/>
  <c r="AM77" i="1"/>
  <c r="AO49" i="1"/>
  <c r="AO50" i="1"/>
  <c r="AO51" i="1"/>
  <c r="AO52" i="1"/>
  <c r="AO53" i="1"/>
  <c r="AO54" i="1"/>
  <c r="AO56" i="1"/>
  <c r="AO57" i="1"/>
  <c r="AO58" i="1"/>
  <c r="AO59" i="1"/>
  <c r="AO60" i="1"/>
  <c r="AO61" i="1"/>
  <c r="AO62" i="1"/>
  <c r="AO63" i="1"/>
  <c r="AO64" i="1"/>
  <c r="AO65" i="1"/>
  <c r="AO66" i="1"/>
  <c r="AO71" i="1"/>
  <c r="AO72" i="1"/>
  <c r="AO73" i="1"/>
  <c r="AO74" i="1"/>
  <c r="AO75" i="1"/>
  <c r="AO76" i="1"/>
  <c r="AO77" i="1"/>
  <c r="AO33" i="1"/>
  <c r="AO34" i="1"/>
  <c r="AO35" i="1"/>
  <c r="AO36" i="1"/>
  <c r="AO37" i="1"/>
  <c r="AO38" i="1"/>
  <c r="AO39" i="1"/>
  <c r="AO40" i="1"/>
  <c r="AO41" i="1"/>
  <c r="AO42" i="1"/>
  <c r="AO43" i="1"/>
  <c r="AO6" i="1"/>
  <c r="AO7" i="1"/>
  <c r="AO8" i="1"/>
  <c r="AO9" i="1"/>
  <c r="AO10" i="1"/>
  <c r="AO11" i="1"/>
  <c r="AO13" i="1"/>
  <c r="AO14" i="1"/>
  <c r="AO15" i="1"/>
  <c r="AO16" i="1"/>
  <c r="AO17" i="1"/>
  <c r="AO18" i="1"/>
  <c r="AO19" i="1"/>
  <c r="AO20" i="1"/>
  <c r="AO21" i="1"/>
  <c r="AO22" i="1"/>
  <c r="AO23" i="1"/>
  <c r="AO25" i="1"/>
  <c r="AO26" i="1"/>
  <c r="AM33" i="1"/>
  <c r="AN33" i="1"/>
  <c r="AM34" i="1"/>
  <c r="AN34" i="1"/>
  <c r="AM35" i="1"/>
  <c r="AN35" i="1"/>
  <c r="AM36" i="1"/>
  <c r="AN36" i="1"/>
  <c r="AM37" i="1"/>
  <c r="AN37" i="1"/>
  <c r="AM38" i="1"/>
  <c r="AN38" i="1"/>
  <c r="AM39" i="1"/>
  <c r="AN39" i="1"/>
  <c r="AM40" i="1"/>
  <c r="AN40" i="1"/>
  <c r="AM41" i="1"/>
  <c r="AN41" i="1"/>
  <c r="AM42" i="1"/>
  <c r="AN42" i="1"/>
  <c r="AM43" i="1"/>
  <c r="AN43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N49" i="1"/>
  <c r="AN50" i="1"/>
  <c r="AN51" i="1"/>
  <c r="AN52" i="1"/>
  <c r="AN53" i="1"/>
  <c r="AN54" i="1"/>
  <c r="AN56" i="1"/>
  <c r="AN57" i="1"/>
  <c r="AN58" i="1"/>
  <c r="AN59" i="1"/>
  <c r="AN60" i="1"/>
  <c r="AN61" i="1"/>
  <c r="AN62" i="1"/>
  <c r="AN63" i="1"/>
  <c r="AN64" i="1"/>
  <c r="AN65" i="1"/>
  <c r="AN67" i="1"/>
  <c r="AN71" i="1"/>
  <c r="AN72" i="1"/>
  <c r="AN73" i="1"/>
  <c r="AN74" i="1"/>
  <c r="AN75" i="1"/>
  <c r="AN76" i="1"/>
  <c r="AN77" i="1"/>
  <c r="CD44" i="1" l="1"/>
  <c r="E82" i="1" l="1"/>
  <c r="B36" i="1"/>
  <c r="C36" i="1" s="1"/>
  <c r="K78" i="1"/>
  <c r="K82" i="1" s="1"/>
  <c r="CD28" i="1" l="1"/>
  <c r="AA5" i="6" l="1"/>
  <c r="AA6" i="6"/>
  <c r="AA7" i="6"/>
  <c r="AA8" i="6"/>
  <c r="AA9" i="6"/>
  <c r="AA10" i="6"/>
  <c r="AA11" i="6"/>
  <c r="AA12" i="6"/>
  <c r="AA13" i="6"/>
  <c r="AA14" i="6"/>
  <c r="AA15" i="6"/>
  <c r="Z5" i="6"/>
  <c r="AB5" i="6"/>
  <c r="Z6" i="6"/>
  <c r="AB6" i="6"/>
  <c r="Z7" i="6"/>
  <c r="AB7" i="6"/>
  <c r="Z8" i="6"/>
  <c r="AB8" i="6"/>
  <c r="Z9" i="6"/>
  <c r="AB9" i="6"/>
  <c r="Z10" i="6"/>
  <c r="AB10" i="6"/>
  <c r="Z11" i="6"/>
  <c r="AB11" i="6"/>
  <c r="Z12" i="6"/>
  <c r="AB12" i="6"/>
  <c r="Z13" i="6"/>
  <c r="AB13" i="6"/>
  <c r="Z14" i="6"/>
  <c r="AB14" i="6"/>
  <c r="Z15" i="6"/>
  <c r="AB15" i="6"/>
  <c r="AB4" i="6"/>
  <c r="AA4" i="6"/>
  <c r="Z4" i="6"/>
  <c r="Q5" i="6"/>
  <c r="Q6" i="6"/>
  <c r="Q7" i="6"/>
  <c r="Q8" i="6"/>
  <c r="Q9" i="6"/>
  <c r="Q10" i="6"/>
  <c r="Q11" i="6"/>
  <c r="Q12" i="6"/>
  <c r="Q13" i="6"/>
  <c r="Q4" i="6"/>
  <c r="O4" i="6"/>
  <c r="N21" i="6"/>
  <c r="M5" i="6"/>
  <c r="N5" i="6"/>
  <c r="R5" i="6"/>
  <c r="S5" i="6"/>
  <c r="U5" i="6"/>
  <c r="V5" i="6"/>
  <c r="M6" i="6"/>
  <c r="N6" i="6"/>
  <c r="R6" i="6"/>
  <c r="S6" i="6"/>
  <c r="U6" i="6"/>
  <c r="V6" i="6"/>
  <c r="M7" i="6"/>
  <c r="N7" i="6"/>
  <c r="R7" i="6"/>
  <c r="S7" i="6"/>
  <c r="U7" i="6"/>
  <c r="V7" i="6"/>
  <c r="M8" i="6"/>
  <c r="N8" i="6"/>
  <c r="R8" i="6"/>
  <c r="S8" i="6"/>
  <c r="U8" i="6"/>
  <c r="V8" i="6"/>
  <c r="M9" i="6"/>
  <c r="N9" i="6"/>
  <c r="R9" i="6"/>
  <c r="S9" i="6"/>
  <c r="U9" i="6"/>
  <c r="V9" i="6"/>
  <c r="M10" i="6"/>
  <c r="N10" i="6"/>
  <c r="R10" i="6"/>
  <c r="S10" i="6"/>
  <c r="U10" i="6"/>
  <c r="V10" i="6"/>
  <c r="M11" i="6"/>
  <c r="N11" i="6"/>
  <c r="R11" i="6"/>
  <c r="S11" i="6"/>
  <c r="U11" i="6"/>
  <c r="V11" i="6"/>
  <c r="M12" i="6"/>
  <c r="N12" i="6"/>
  <c r="R12" i="6"/>
  <c r="S12" i="6"/>
  <c r="U12" i="6"/>
  <c r="V12" i="6"/>
  <c r="M13" i="6"/>
  <c r="N13" i="6"/>
  <c r="R13" i="6"/>
  <c r="S13" i="6"/>
  <c r="U13" i="6"/>
  <c r="V13" i="6"/>
  <c r="N14" i="6"/>
  <c r="N16" i="6"/>
  <c r="N17" i="6"/>
  <c r="N18" i="6"/>
  <c r="N19" i="6"/>
  <c r="N20" i="6"/>
  <c r="X5" i="6"/>
  <c r="Y5" i="6"/>
  <c r="AC5" i="6"/>
  <c r="AD5" i="6"/>
  <c r="AF5" i="6"/>
  <c r="AG5" i="6"/>
  <c r="X6" i="6"/>
  <c r="Y6" i="6"/>
  <c r="AC6" i="6"/>
  <c r="AD6" i="6"/>
  <c r="AF6" i="6"/>
  <c r="AG6" i="6"/>
  <c r="X7" i="6"/>
  <c r="Y7" i="6"/>
  <c r="AC7" i="6"/>
  <c r="AD7" i="6"/>
  <c r="AF7" i="6"/>
  <c r="AG7" i="6"/>
  <c r="X8" i="6"/>
  <c r="Y8" i="6"/>
  <c r="AC8" i="6"/>
  <c r="AD8" i="6"/>
  <c r="AF8" i="6"/>
  <c r="AG8" i="6"/>
  <c r="X9" i="6"/>
  <c r="Y9" i="6"/>
  <c r="AC9" i="6"/>
  <c r="AD9" i="6"/>
  <c r="AF9" i="6"/>
  <c r="AG9" i="6"/>
  <c r="X10" i="6"/>
  <c r="Y10" i="6"/>
  <c r="AC10" i="6"/>
  <c r="AD10" i="6"/>
  <c r="AF10" i="6"/>
  <c r="AG10" i="6"/>
  <c r="X11" i="6"/>
  <c r="Y11" i="6"/>
  <c r="AC11" i="6"/>
  <c r="AD11" i="6"/>
  <c r="AF11" i="6"/>
  <c r="AG11" i="6"/>
  <c r="X12" i="6"/>
  <c r="Y12" i="6"/>
  <c r="AC12" i="6"/>
  <c r="AD12" i="6"/>
  <c r="AF12" i="6"/>
  <c r="AG12" i="6"/>
  <c r="X13" i="6"/>
  <c r="AC13" i="6"/>
  <c r="AD13" i="6"/>
  <c r="AF13" i="6"/>
  <c r="AG13" i="6"/>
  <c r="X14" i="6"/>
  <c r="Y14" i="6"/>
  <c r="AC14" i="6"/>
  <c r="AD14" i="6"/>
  <c r="AF14" i="6"/>
  <c r="AG14" i="6"/>
  <c r="X15" i="6"/>
  <c r="Y15" i="6"/>
  <c r="AC15" i="6"/>
  <c r="AD15" i="6"/>
  <c r="AE15" i="6"/>
  <c r="AF15" i="6"/>
  <c r="AG15" i="6"/>
  <c r="S36" i="1"/>
  <c r="AE8" i="6" s="1"/>
  <c r="AR36" i="1"/>
  <c r="AS36" i="1"/>
  <c r="S60" i="1" l="1"/>
  <c r="T15" i="6" s="1"/>
  <c r="AR60" i="1"/>
  <c r="AS60" i="1"/>
  <c r="L28" i="1" l="1"/>
  <c r="R24" i="1" l="1"/>
  <c r="AO24" i="1" s="1"/>
  <c r="AK78" i="1" l="1"/>
  <c r="AK44" i="1"/>
  <c r="AY12" i="1"/>
  <c r="BE12" i="1"/>
  <c r="AJ44" i="1"/>
  <c r="BA100" i="1"/>
  <c r="BA101" i="1"/>
  <c r="BA103" i="1"/>
  <c r="BA104" i="1"/>
  <c r="BA105" i="1"/>
  <c r="BA107" i="1"/>
  <c r="BA108" i="1"/>
  <c r="BA109" i="1"/>
  <c r="BA110" i="1"/>
  <c r="BA111" i="1"/>
  <c r="BA99" i="1"/>
  <c r="AK82" i="1" l="1"/>
  <c r="AM5" i="1"/>
  <c r="AR6" i="1"/>
  <c r="AS6" i="1"/>
  <c r="AR7" i="1"/>
  <c r="AS7" i="1"/>
  <c r="AR8" i="1"/>
  <c r="AS8" i="1"/>
  <c r="AR9" i="1"/>
  <c r="AS9" i="1"/>
  <c r="AR10" i="1"/>
  <c r="AS10" i="1"/>
  <c r="AR11" i="1"/>
  <c r="AS11" i="1"/>
  <c r="AR12" i="1"/>
  <c r="AR13" i="1"/>
  <c r="AS13" i="1"/>
  <c r="AR14" i="1"/>
  <c r="AS14" i="1"/>
  <c r="AR15" i="1"/>
  <c r="AS15" i="1"/>
  <c r="AR16" i="1"/>
  <c r="AS16" i="1"/>
  <c r="AR17" i="1"/>
  <c r="AS17" i="1"/>
  <c r="AR18" i="1"/>
  <c r="AS18" i="1"/>
  <c r="AR19" i="1"/>
  <c r="AS19" i="1"/>
  <c r="AR20" i="1"/>
  <c r="AS20" i="1"/>
  <c r="AR21" i="1"/>
  <c r="AS21" i="1"/>
  <c r="AR22" i="1"/>
  <c r="AS22" i="1"/>
  <c r="AR23" i="1"/>
  <c r="AS23" i="1"/>
  <c r="AR24" i="1"/>
  <c r="AS24" i="1"/>
  <c r="AR25" i="1"/>
  <c r="AS25" i="1"/>
  <c r="AR26" i="1"/>
  <c r="AS26" i="1"/>
  <c r="AR48" i="1"/>
  <c r="AS48" i="1"/>
  <c r="AR49" i="1"/>
  <c r="AS49" i="1"/>
  <c r="AR50" i="1"/>
  <c r="AS50" i="1"/>
  <c r="AR51" i="1"/>
  <c r="AS51" i="1"/>
  <c r="AR52" i="1"/>
  <c r="AS52" i="1"/>
  <c r="AR53" i="1"/>
  <c r="AR54" i="1"/>
  <c r="AS54" i="1"/>
  <c r="AR56" i="1"/>
  <c r="AS56" i="1"/>
  <c r="AR57" i="1"/>
  <c r="AS57" i="1"/>
  <c r="AR58" i="1"/>
  <c r="AS58" i="1"/>
  <c r="AR59" i="1"/>
  <c r="AS59" i="1"/>
  <c r="AR61" i="1"/>
  <c r="AS61" i="1"/>
  <c r="AR62" i="1"/>
  <c r="AS62" i="1"/>
  <c r="AR63" i="1"/>
  <c r="AS63" i="1"/>
  <c r="AR64" i="1"/>
  <c r="AS64" i="1"/>
  <c r="AR65" i="1"/>
  <c r="AS65" i="1"/>
  <c r="AR66" i="1"/>
  <c r="AS66" i="1"/>
  <c r="AR67" i="1"/>
  <c r="AR71" i="1"/>
  <c r="AS71" i="1"/>
  <c r="AR72" i="1"/>
  <c r="AS72" i="1"/>
  <c r="AR73" i="1"/>
  <c r="AS73" i="1"/>
  <c r="AR74" i="1"/>
  <c r="AS74" i="1"/>
  <c r="AR75" i="1"/>
  <c r="AS75" i="1"/>
  <c r="AR76" i="1"/>
  <c r="AS76" i="1"/>
  <c r="AR32" i="1"/>
  <c r="AS32" i="1"/>
  <c r="AR33" i="1"/>
  <c r="AS33" i="1"/>
  <c r="AR34" i="1"/>
  <c r="AS34" i="1"/>
  <c r="AR35" i="1"/>
  <c r="AS35" i="1"/>
  <c r="AR37" i="1"/>
  <c r="AS37" i="1"/>
  <c r="AR38" i="1"/>
  <c r="AS38" i="1"/>
  <c r="AR39" i="1"/>
  <c r="AS39" i="1"/>
  <c r="AR40" i="1"/>
  <c r="AS40" i="1"/>
  <c r="AR41" i="1"/>
  <c r="AS41" i="1"/>
  <c r="AR42" i="1"/>
  <c r="AS42" i="1"/>
  <c r="AR43" i="1"/>
  <c r="AS43" i="1"/>
  <c r="AS5" i="1"/>
  <c r="AR5" i="1"/>
  <c r="AT65" i="1" l="1"/>
  <c r="AR88" i="1"/>
  <c r="N103" i="1" s="1"/>
  <c r="AR90" i="1"/>
  <c r="P103" i="1" s="1"/>
  <c r="AR89" i="1"/>
  <c r="O103" i="1" s="1"/>
  <c r="AR44" i="1"/>
  <c r="AT44" i="1" s="1"/>
  <c r="AM48" i="1"/>
  <c r="AM78" i="1" s="1"/>
  <c r="AM32" i="1"/>
  <c r="AM44" i="1" s="1"/>
  <c r="P45" i="1" s="1"/>
  <c r="AN32" i="1"/>
  <c r="AN44" i="1" s="1"/>
  <c r="AQ67" i="1"/>
  <c r="AN48" i="1"/>
  <c r="AN78" i="1" s="1"/>
  <c r="AQ48" i="1"/>
  <c r="Y44" i="1"/>
  <c r="Y91" i="1" s="1"/>
  <c r="AO5" i="1"/>
  <c r="AT66" i="1" l="1"/>
  <c r="AR91" i="1" s="1"/>
  <c r="AM45" i="1"/>
  <c r="P44" i="1" s="1"/>
  <c r="P79" i="1"/>
  <c r="AM79" i="1"/>
  <c r="AM28" i="1"/>
  <c r="AN28" i="1"/>
  <c r="AA28" i="6"/>
  <c r="AC28" i="6"/>
  <c r="AG24" i="6"/>
  <c r="P78" i="1" l="1"/>
  <c r="AM29" i="1"/>
  <c r="P28" i="1" s="1"/>
  <c r="AM82" i="1"/>
  <c r="P84" i="1" s="1"/>
  <c r="AN82" i="1"/>
  <c r="X82" i="1" s="1"/>
  <c r="X78" i="1"/>
  <c r="AS53" i="1"/>
  <c r="AU65" i="1" s="1"/>
  <c r="AM84" i="1" l="1"/>
  <c r="P30" i="6" l="1"/>
  <c r="P29" i="1"/>
  <c r="B6" i="1"/>
  <c r="C6" i="1" s="1"/>
  <c r="B49" i="1"/>
  <c r="B30" i="1"/>
  <c r="C30" i="1" s="1"/>
  <c r="B31" i="1"/>
  <c r="C31" i="1" s="1"/>
  <c r="B32" i="1"/>
  <c r="B33" i="1"/>
  <c r="C33" i="1" s="1"/>
  <c r="B34" i="1"/>
  <c r="C34" i="1" s="1"/>
  <c r="B35" i="1"/>
  <c r="C35" i="1" s="1"/>
  <c r="B37" i="1"/>
  <c r="C37" i="1" s="1"/>
  <c r="B38" i="1"/>
  <c r="C38" i="1" s="1"/>
  <c r="B39" i="1"/>
  <c r="C39" i="1" s="1"/>
  <c r="B40" i="1"/>
  <c r="C40" i="1" s="1"/>
  <c r="B42" i="1"/>
  <c r="C42" i="1" s="1"/>
  <c r="B43" i="1"/>
  <c r="C43" i="1" s="1"/>
  <c r="B87" i="1"/>
  <c r="C87" i="1" s="1"/>
  <c r="B88" i="1"/>
  <c r="C88" i="1" s="1"/>
  <c r="B5" i="1"/>
  <c r="C5" i="1" l="1"/>
  <c r="C28" i="1" s="1"/>
  <c r="B28" i="1"/>
  <c r="C49" i="1"/>
  <c r="C78" i="1" s="1"/>
  <c r="B90" i="1" s="1"/>
  <c r="B78" i="1"/>
  <c r="B89" i="1"/>
  <c r="Y89" i="1"/>
  <c r="AO48" i="1"/>
  <c r="AO32" i="1"/>
  <c r="AO44" i="1" s="1"/>
  <c r="BT78" i="1" l="1"/>
  <c r="A90" i="1"/>
  <c r="R45" i="1"/>
  <c r="AO45" i="1"/>
  <c r="R44" i="1" s="1"/>
  <c r="J78" i="1"/>
  <c r="H76" i="6"/>
  <c r="I76" i="6"/>
  <c r="G76" i="6"/>
  <c r="D76" i="6"/>
  <c r="E76" i="6"/>
  <c r="C76" i="6"/>
  <c r="G75" i="6"/>
  <c r="C75" i="6"/>
  <c r="B76" i="6"/>
  <c r="B77" i="6"/>
  <c r="B78" i="6"/>
  <c r="B79" i="6"/>
  <c r="B75" i="6"/>
  <c r="X16" i="6"/>
  <c r="Y16" i="6"/>
  <c r="Z16" i="6"/>
  <c r="AA16" i="6"/>
  <c r="AB16" i="6"/>
  <c r="AC16" i="6"/>
  <c r="AD16" i="6"/>
  <c r="AE16" i="6"/>
  <c r="AF16" i="6"/>
  <c r="AG16" i="6"/>
  <c r="AG17" i="6"/>
  <c r="Y4" i="6"/>
  <c r="AC4" i="6"/>
  <c r="AD4" i="6"/>
  <c r="AF4" i="6"/>
  <c r="AG4" i="6"/>
  <c r="X4" i="6"/>
  <c r="N4" i="6"/>
  <c r="R4" i="6"/>
  <c r="S4" i="6"/>
  <c r="U4" i="6"/>
  <c r="V4" i="6"/>
  <c r="M4" i="6"/>
  <c r="C5" i="6"/>
  <c r="E5" i="6"/>
  <c r="F5" i="6"/>
  <c r="H5" i="6"/>
  <c r="C6" i="6"/>
  <c r="F6" i="6"/>
  <c r="H6" i="6"/>
  <c r="C7" i="6"/>
  <c r="E7" i="6"/>
  <c r="F7" i="6"/>
  <c r="H7" i="6"/>
  <c r="C8" i="6"/>
  <c r="F8" i="6"/>
  <c r="H8" i="6"/>
  <c r="C9" i="6"/>
  <c r="F9" i="6"/>
  <c r="F10" i="6"/>
  <c r="C11" i="6"/>
  <c r="D11" i="6"/>
  <c r="E11" i="6"/>
  <c r="F11" i="6"/>
  <c r="H11" i="6"/>
  <c r="C12" i="6"/>
  <c r="E12" i="6"/>
  <c r="F12" i="6"/>
  <c r="J12" i="6"/>
  <c r="K12" i="6"/>
  <c r="C13" i="6"/>
  <c r="D13" i="6"/>
  <c r="E13" i="6"/>
  <c r="F13" i="6"/>
  <c r="H13" i="6"/>
  <c r="E14" i="6"/>
  <c r="F14" i="6"/>
  <c r="G14" i="6"/>
  <c r="H14" i="6"/>
  <c r="C15" i="6"/>
  <c r="F15" i="6"/>
  <c r="H15" i="6"/>
  <c r="C16" i="6"/>
  <c r="F16" i="6"/>
  <c r="I16" i="6"/>
  <c r="C17" i="6"/>
  <c r="F17" i="6"/>
  <c r="H17" i="6"/>
  <c r="C18" i="6"/>
  <c r="E18" i="6"/>
  <c r="F18" i="6"/>
  <c r="C19" i="6"/>
  <c r="D19" i="6"/>
  <c r="F19" i="6"/>
  <c r="H19" i="6"/>
  <c r="C20" i="6"/>
  <c r="E20" i="6"/>
  <c r="F20" i="6"/>
  <c r="H20" i="6"/>
  <c r="C21" i="6"/>
  <c r="I21" i="6"/>
  <c r="C22" i="6"/>
  <c r="F22" i="6"/>
  <c r="G22" i="6"/>
  <c r="H22" i="6"/>
  <c r="F23" i="6"/>
  <c r="H23" i="6"/>
  <c r="C24" i="6"/>
  <c r="F24" i="6"/>
  <c r="H24" i="6"/>
  <c r="C25" i="6"/>
  <c r="H25" i="6"/>
  <c r="C26" i="6"/>
  <c r="H26" i="6"/>
  <c r="C27" i="6"/>
  <c r="H27" i="6"/>
  <c r="F4" i="6"/>
  <c r="C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4" i="6"/>
  <c r="B2" i="6"/>
  <c r="M2" i="6" s="1"/>
  <c r="I84" i="6"/>
  <c r="I85" i="6" s="1"/>
  <c r="H84" i="6"/>
  <c r="H85" i="6" s="1"/>
  <c r="X2" i="6" l="1"/>
  <c r="H86" i="6"/>
  <c r="L70" i="6"/>
  <c r="L68" i="6"/>
  <c r="O41" i="2"/>
  <c r="T62" i="2" s="1"/>
  <c r="Q101" i="1"/>
  <c r="G79" i="6" s="1"/>
  <c r="R101" i="1"/>
  <c r="H79" i="6" s="1"/>
  <c r="S101" i="1"/>
  <c r="I79" i="6" s="1"/>
  <c r="P101" i="1"/>
  <c r="E79" i="6" s="1"/>
  <c r="O101" i="1"/>
  <c r="D79" i="6" s="1"/>
  <c r="N101" i="1"/>
  <c r="C79" i="6" s="1"/>
  <c r="P100" i="1"/>
  <c r="E78" i="6" s="1"/>
  <c r="P99" i="1"/>
  <c r="E77" i="6" s="1"/>
  <c r="D78" i="6"/>
  <c r="N100" i="1"/>
  <c r="C78" i="6" s="1"/>
  <c r="O99" i="1"/>
  <c r="D77" i="6" s="1"/>
  <c r="N99" i="1"/>
  <c r="C77" i="6" s="1"/>
  <c r="L69" i="6" l="1"/>
  <c r="L72" i="6" s="1"/>
  <c r="BE140" i="1"/>
  <c r="BE141" i="1"/>
  <c r="BE142" i="1"/>
  <c r="BE144" i="1"/>
  <c r="BE145" i="1"/>
  <c r="BE146" i="1"/>
  <c r="BE147" i="1"/>
  <c r="BF140" i="1" l="1"/>
  <c r="BJ141" i="1"/>
  <c r="BF141" i="1"/>
  <c r="BF144" i="1"/>
  <c r="BF145" i="1"/>
  <c r="BF146" i="1"/>
  <c r="BF147" i="1"/>
  <c r="B28" i="6" l="1"/>
  <c r="C73" i="6"/>
  <c r="BF142" i="1"/>
  <c r="F29" i="6"/>
  <c r="X44" i="1"/>
  <c r="X91" i="1" s="1"/>
  <c r="AF25" i="6" s="1"/>
  <c r="Y45" i="1" l="1"/>
  <c r="AF17" i="6"/>
  <c r="S45" i="1"/>
  <c r="R67" i="1"/>
  <c r="S22" i="6" s="1"/>
  <c r="AO67" i="1" l="1"/>
  <c r="AO78" i="1" s="1"/>
  <c r="R79" i="1" s="1"/>
  <c r="AJ67" i="1"/>
  <c r="AJ78" i="1" s="1"/>
  <c r="AJ82" i="1" s="1"/>
  <c r="AS67" i="1"/>
  <c r="Z91" i="1"/>
  <c r="AH25" i="6" s="1"/>
  <c r="Q100" i="1"/>
  <c r="G78" i="6" s="1"/>
  <c r="S100" i="1"/>
  <c r="I78" i="6" s="1"/>
  <c r="R100" i="1"/>
  <c r="H78" i="6" s="1"/>
  <c r="X66" i="1"/>
  <c r="R12" i="1"/>
  <c r="AO12" i="1" s="1"/>
  <c r="AO28" i="1" s="1"/>
  <c r="K28" i="6"/>
  <c r="AQ66" i="1" l="1"/>
  <c r="AQ78" i="1" s="1"/>
  <c r="U21" i="6"/>
  <c r="AO79" i="1"/>
  <c r="R78" i="1" s="1"/>
  <c r="AO29" i="1"/>
  <c r="R28" i="1"/>
  <c r="AO84" i="1"/>
  <c r="AS12" i="1"/>
  <c r="X89" i="1"/>
  <c r="Y29" i="1"/>
  <c r="F28" i="6"/>
  <c r="H12" i="6"/>
  <c r="S99" i="1"/>
  <c r="I77" i="6" s="1"/>
  <c r="R99" i="1"/>
  <c r="H77" i="6" s="1"/>
  <c r="Q99" i="1"/>
  <c r="G77" i="6" s="1"/>
  <c r="J28" i="6"/>
  <c r="R82" i="1" l="1"/>
  <c r="AF23" i="6"/>
  <c r="AS44" i="1"/>
  <c r="AU44" i="1" s="1"/>
  <c r="AU66" i="1" s="1"/>
  <c r="AS91" i="1" s="1"/>
  <c r="AS90" i="1"/>
  <c r="S103" i="1" s="1"/>
  <c r="AS89" i="1"/>
  <c r="R103" i="1" s="1"/>
  <c r="AS88" i="1"/>
  <c r="Q103" i="1" s="1"/>
  <c r="Z90" i="1"/>
  <c r="AH24" i="6" s="1"/>
  <c r="B73" i="6"/>
  <c r="Y78" i="1"/>
  <c r="Y82" i="1" l="1"/>
  <c r="Y90" i="1"/>
  <c r="Y93" i="1" s="1"/>
  <c r="V30" i="6"/>
  <c r="K69" i="6" s="1"/>
  <c r="S58" i="1"/>
  <c r="T13" i="6" s="1"/>
  <c r="AD17" i="6"/>
  <c r="AG18" i="6" l="1"/>
  <c r="S79" i="1"/>
  <c r="S31" i="6"/>
  <c r="P18" i="5"/>
  <c r="N39" i="5"/>
  <c r="O39" i="5"/>
  <c r="K1" i="5"/>
  <c r="H18" i="5" l="1"/>
  <c r="H19" i="5"/>
  <c r="G19" i="5"/>
  <c r="H13" i="5"/>
  <c r="G3" i="5"/>
  <c r="G4" i="5"/>
  <c r="G5" i="5"/>
  <c r="G7" i="5"/>
  <c r="G9" i="5"/>
  <c r="G10" i="5"/>
  <c r="G12" i="5"/>
  <c r="G13" i="5"/>
  <c r="G15" i="5"/>
  <c r="G16" i="5"/>
  <c r="G18" i="5"/>
  <c r="G2" i="5"/>
  <c r="H21" i="5" l="1"/>
  <c r="G21" i="5"/>
  <c r="G23" i="5" s="1"/>
  <c r="G25" i="5" s="1"/>
  <c r="G26" i="5" l="1"/>
  <c r="G27" i="5" s="1"/>
  <c r="G28" i="5" s="1"/>
  <c r="G29" i="5" s="1"/>
  <c r="S62" i="1"/>
  <c r="T17" i="6" s="1"/>
  <c r="S63" i="1"/>
  <c r="T18" i="6" s="1"/>
  <c r="S64" i="1"/>
  <c r="T19" i="6" s="1"/>
  <c r="S65" i="1"/>
  <c r="T20" i="6" s="1"/>
  <c r="S67" i="1"/>
  <c r="T22" i="6" s="1"/>
  <c r="S76" i="1"/>
  <c r="T28" i="6" s="1"/>
  <c r="BQ79" i="1" l="1"/>
  <c r="BQ81" i="1"/>
  <c r="CC81" i="1"/>
  <c r="V4" i="4" l="1"/>
  <c r="V21" i="4"/>
  <c r="F29" i="4"/>
  <c r="F31" i="4" s="1"/>
  <c r="U18" i="4" s="1"/>
  <c r="U19" i="4" s="1"/>
  <c r="U20" i="4" s="1"/>
  <c r="U21" i="4" s="1"/>
  <c r="Y3" i="4"/>
  <c r="Y9" i="4"/>
  <c r="Y10" i="4"/>
  <c r="U16" i="4" l="1"/>
  <c r="W16" i="4" s="1"/>
  <c r="Y17" i="4" s="1"/>
  <c r="Y14" i="4"/>
  <c r="G29" i="4"/>
  <c r="B8" i="4" s="1"/>
  <c r="Q30" i="4"/>
  <c r="P29" i="4"/>
  <c r="N29" i="4"/>
  <c r="U4" i="4" s="1"/>
  <c r="H29" i="4"/>
  <c r="J14" i="4"/>
  <c r="K14" i="4" s="1"/>
  <c r="J13" i="4"/>
  <c r="K13" i="4" s="1"/>
  <c r="K12" i="4"/>
  <c r="D12" i="4"/>
  <c r="K11" i="4"/>
  <c r="K10" i="4"/>
  <c r="J8" i="4"/>
  <c r="K8" i="4" s="1"/>
  <c r="J7" i="4"/>
  <c r="K7" i="4" s="1"/>
  <c r="J6" i="4"/>
  <c r="K6" i="4" s="1"/>
  <c r="J5" i="4"/>
  <c r="K5" i="4" s="1"/>
  <c r="O4" i="4"/>
  <c r="O5" i="4" s="1"/>
  <c r="O6" i="4" s="1"/>
  <c r="O7" i="4" s="1"/>
  <c r="O8" i="4" s="1"/>
  <c r="O9" i="4" s="1"/>
  <c r="O10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J4" i="4"/>
  <c r="K4" i="4" s="1"/>
  <c r="T41" i="2"/>
  <c r="T58" i="2" s="1"/>
  <c r="S41" i="2"/>
  <c r="S58" i="2" s="1"/>
  <c r="R41" i="2"/>
  <c r="R58" i="2" s="1"/>
  <c r="B10" i="4" l="1"/>
  <c r="U2" i="4"/>
  <c r="Y2" i="4" s="1"/>
  <c r="U5" i="4"/>
  <c r="K29" i="4"/>
  <c r="L4" i="4"/>
  <c r="L5" i="4" s="1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U7" i="4" s="1"/>
  <c r="Q31" i="4"/>
  <c r="S13" i="4" s="1"/>
  <c r="U6" i="4"/>
  <c r="BP59" i="1"/>
  <c r="U8" i="4" l="1"/>
  <c r="Q32" i="4"/>
  <c r="Q33" i="4" s="1"/>
  <c r="V13" i="4" s="1"/>
  <c r="K42" i="4"/>
  <c r="J42" i="2"/>
  <c r="K42" i="2"/>
  <c r="L42" i="2"/>
  <c r="I42" i="2"/>
  <c r="K41" i="2"/>
  <c r="R57" i="2" s="1"/>
  <c r="Y13" i="4" l="1"/>
  <c r="Q34" i="4"/>
  <c r="Q36" i="4" s="1"/>
  <c r="K32" i="4"/>
  <c r="K33" i="4" s="1"/>
  <c r="K37" i="4" s="1"/>
  <c r="K34" i="4"/>
  <c r="K39" i="4" s="1"/>
  <c r="H41" i="2"/>
  <c r="S62" i="2" s="1"/>
  <c r="B9" i="4" l="1"/>
  <c r="B11" i="4"/>
  <c r="K41" i="4"/>
  <c r="S20" i="1"/>
  <c r="I20" i="6" s="1"/>
  <c r="Q78" i="1"/>
  <c r="R30" i="6" s="1"/>
  <c r="L78" i="1"/>
  <c r="O30" i="6" s="1"/>
  <c r="S11" i="4" l="1"/>
  <c r="W8" i="4"/>
  <c r="Y7" i="4" s="1"/>
  <c r="Y21" i="4" s="1"/>
  <c r="BA139" i="1"/>
  <c r="B5" i="4"/>
  <c r="O90" i="1"/>
  <c r="Q90" i="1"/>
  <c r="L90" i="1"/>
  <c r="D69" i="6" l="1"/>
  <c r="Z24" i="6"/>
  <c r="G69" i="6"/>
  <c r="AC24" i="6"/>
  <c r="E69" i="6"/>
  <c r="AA24" i="6"/>
  <c r="CD45" i="1"/>
  <c r="CD78" i="1"/>
  <c r="CD79" i="1" s="1"/>
  <c r="CD81" i="1"/>
  <c r="CF79" i="1"/>
  <c r="CF81" i="1" s="1"/>
  <c r="CF84" i="1" s="1"/>
  <c r="BS79" i="1"/>
  <c r="BS81" i="1" s="1"/>
  <c r="CC79" i="1"/>
  <c r="CC29" i="1"/>
  <c r="BV29" i="1"/>
  <c r="CD29" i="1" l="1"/>
  <c r="D34" i="1"/>
  <c r="D35" i="1" l="1"/>
  <c r="B41" i="1"/>
  <c r="B45" i="1" s="1"/>
  <c r="A91" i="1" s="1"/>
  <c r="Y13" i="6"/>
  <c r="C14" i="6"/>
  <c r="C23" i="6"/>
  <c r="C10" i="6"/>
  <c r="D52" i="1"/>
  <c r="L44" i="1"/>
  <c r="D28" i="6"/>
  <c r="D56" i="1" l="1"/>
  <c r="D37" i="1"/>
  <c r="D38" i="1" s="1"/>
  <c r="D39" i="1" s="1"/>
  <c r="D40" i="1" s="1"/>
  <c r="D41" i="1" s="1"/>
  <c r="D42" i="1" s="1"/>
  <c r="D43" i="1" s="1"/>
  <c r="L91" i="1"/>
  <c r="Z17" i="6"/>
  <c r="D73" i="1"/>
  <c r="D74" i="1" s="1"/>
  <c r="D75" i="1" s="1"/>
  <c r="D76" i="1" s="1"/>
  <c r="L82" i="1"/>
  <c r="L84" i="1" s="1"/>
  <c r="AI3" i="2"/>
  <c r="AI4" i="2" s="1"/>
  <c r="AI5" i="2" s="1"/>
  <c r="AI6" i="2" s="1"/>
  <c r="D78" i="1" l="1"/>
  <c r="C90" i="1" s="1"/>
  <c r="D45" i="1"/>
  <c r="C91" i="1" s="1"/>
  <c r="BT28" i="1"/>
  <c r="BW28" i="1" s="1"/>
  <c r="BX28" i="1" s="1"/>
  <c r="A89" i="1"/>
  <c r="A93" i="1" s="1"/>
  <c r="J28" i="1"/>
  <c r="C28" i="6" s="1"/>
  <c r="D68" i="6"/>
  <c r="Z23" i="6"/>
  <c r="D70" i="6"/>
  <c r="Z25" i="6"/>
  <c r="L93" i="1"/>
  <c r="Z18" i="6"/>
  <c r="D72" i="6" s="1"/>
  <c r="D73" i="6" s="1"/>
  <c r="I3" i="2"/>
  <c r="P3" i="2" s="1"/>
  <c r="L41" i="2"/>
  <c r="S57" i="2" s="1"/>
  <c r="M41" i="2"/>
  <c r="T57" i="2" s="1"/>
  <c r="E41" i="2"/>
  <c r="F41" i="2"/>
  <c r="S56" i="2" s="1"/>
  <c r="S59" i="2" s="1"/>
  <c r="S61" i="2" s="1"/>
  <c r="G41" i="2"/>
  <c r="T56" i="2" s="1"/>
  <c r="T59" i="2" s="1"/>
  <c r="D43" i="2" l="1"/>
  <c r="R56" i="2"/>
  <c r="R59" i="2" s="1"/>
  <c r="R60" i="2" s="1"/>
  <c r="BV44" i="1"/>
  <c r="BV81" i="1" s="1"/>
  <c r="K93" i="1"/>
  <c r="L95" i="1"/>
  <c r="C93" i="1"/>
  <c r="Z27" i="6"/>
  <c r="D82" i="1"/>
  <c r="D79" i="1"/>
  <c r="BV78" i="1" s="1"/>
  <c r="BV79" i="1" s="1"/>
  <c r="BY28" i="1"/>
  <c r="BZ28" i="1" s="1"/>
  <c r="CA28" i="1" s="1"/>
  <c r="BT29" i="1"/>
  <c r="E43" i="2"/>
  <c r="F43" i="2"/>
  <c r="AF5" i="2"/>
  <c r="B41" i="2"/>
  <c r="D66" i="3"/>
  <c r="H42" i="2" l="1"/>
  <c r="R62" i="2"/>
  <c r="R63" i="2" s="1"/>
  <c r="K95" i="1"/>
  <c r="N94" i="1"/>
  <c r="BV84" i="1"/>
  <c r="G94" i="1"/>
  <c r="BV45" i="1"/>
  <c r="CB28" i="1"/>
  <c r="CE28" i="1" s="1"/>
  <c r="CG28" i="1" s="1"/>
  <c r="O42" i="2"/>
  <c r="C43" i="2" s="1"/>
  <c r="AH2" i="2" s="1"/>
  <c r="AH3" i="2" s="1"/>
  <c r="AH4" i="2" s="1"/>
  <c r="AH5" i="2" s="1"/>
  <c r="AF3" i="2"/>
  <c r="AF4" i="2"/>
  <c r="G43" i="2"/>
  <c r="AF6" i="2" s="1"/>
  <c r="J43" i="2"/>
  <c r="BV46" i="1" l="1"/>
  <c r="BW46" i="1" s="1"/>
  <c r="BX46" i="1" s="1"/>
  <c r="BX84" i="1"/>
  <c r="BY84" i="1" s="1"/>
  <c r="BZ84" i="1" s="1"/>
  <c r="CA84" i="1" s="1"/>
  <c r="CB29" i="1"/>
  <c r="CE29" i="1" s="1"/>
  <c r="CG29" i="1" s="1"/>
  <c r="BQ89" i="1" s="1"/>
  <c r="I89" i="1" s="1"/>
  <c r="AH6" i="2"/>
  <c r="AJ6" i="2" s="1"/>
  <c r="AK6" i="2" s="1"/>
  <c r="AL6" i="2" s="1"/>
  <c r="AO6" i="2" s="1"/>
  <c r="AQ7" i="2" s="1"/>
  <c r="AD10" i="2" s="1"/>
  <c r="AJ5" i="2"/>
  <c r="AK5" i="2" s="1"/>
  <c r="AL5" i="2" s="1"/>
  <c r="AO5" i="2" s="1"/>
  <c r="AQ6" i="2" s="1"/>
  <c r="AQ21" i="2" s="1"/>
  <c r="AD7" i="2" s="1"/>
  <c r="AJ3" i="2"/>
  <c r="AK3" i="2" s="1"/>
  <c r="AL3" i="2" s="1"/>
  <c r="AO3" i="2" s="1"/>
  <c r="AQ4" i="2" s="1"/>
  <c r="AQ19" i="2" s="1"/>
  <c r="AD5" i="2" s="1"/>
  <c r="AF2" i="2"/>
  <c r="AJ4" i="2"/>
  <c r="AK4" i="2" s="1"/>
  <c r="AL4" i="2" s="1"/>
  <c r="AO4" i="2" s="1"/>
  <c r="AQ5" i="2" s="1"/>
  <c r="AQ20" i="2" s="1"/>
  <c r="AD6" i="2" s="1"/>
  <c r="I43" i="2"/>
  <c r="M43" i="2"/>
  <c r="L43" i="2"/>
  <c r="K43" i="2"/>
  <c r="BY46" i="1" l="1"/>
  <c r="BZ46" i="1" s="1"/>
  <c r="CA46" i="1" s="1"/>
  <c r="CB46" i="1" s="1"/>
  <c r="B68" i="6"/>
  <c r="X23" i="6"/>
  <c r="I28" i="1"/>
  <c r="J89" i="1"/>
  <c r="AQ17" i="2"/>
  <c r="O19" i="1"/>
  <c r="N122" i="1" s="1"/>
  <c r="CB84" i="1" l="1"/>
  <c r="CE84" i="1" s="1"/>
  <c r="CG84" i="1" s="1"/>
  <c r="I95" i="1" s="1"/>
  <c r="CE46" i="1"/>
  <c r="CG46" i="1" s="1"/>
  <c r="Y23" i="6"/>
  <c r="C68" i="6"/>
  <c r="E19" i="6"/>
  <c r="E12" i="3"/>
  <c r="E13" i="3" s="1"/>
  <c r="E6" i="3"/>
  <c r="E7" i="3" s="1"/>
  <c r="D27" i="3"/>
  <c r="D50" i="3"/>
  <c r="A52" i="3"/>
  <c r="A29" i="3"/>
  <c r="AZ139" i="1" l="1"/>
  <c r="E28" i="6"/>
  <c r="D68" i="3"/>
  <c r="I46" i="1"/>
  <c r="I30" i="1"/>
  <c r="AA17" i="6" l="1"/>
  <c r="Q44" i="1"/>
  <c r="Q89" i="1" l="1"/>
  <c r="G28" i="6"/>
  <c r="Q91" i="1"/>
  <c r="AC17" i="6"/>
  <c r="O91" i="1"/>
  <c r="BB139" i="1"/>
  <c r="Q82" i="1"/>
  <c r="O89" i="1"/>
  <c r="E68" i="6" l="1"/>
  <c r="AA23" i="6"/>
  <c r="G70" i="6"/>
  <c r="AC25" i="6"/>
  <c r="E70" i="6"/>
  <c r="AA25" i="6"/>
  <c r="G68" i="6"/>
  <c r="AC23" i="6"/>
  <c r="BE139" i="1"/>
  <c r="BF139" i="1" s="1"/>
  <c r="Q93" i="1"/>
  <c r="AC27" i="6" s="1"/>
  <c r="AC18" i="6"/>
  <c r="G72" i="6" s="1"/>
  <c r="O82" i="1"/>
  <c r="O93" i="1" l="1"/>
  <c r="N95" i="1" s="1"/>
  <c r="P95" i="1" s="1"/>
  <c r="AA18" i="6"/>
  <c r="E72" i="6" s="1"/>
  <c r="S12" i="1"/>
  <c r="I12" i="6" s="1"/>
  <c r="S53" i="1"/>
  <c r="T9" i="6" s="1"/>
  <c r="V94" i="1" l="1"/>
  <c r="V95" i="1" s="1"/>
  <c r="AA27" i="6"/>
  <c r="E88" i="6"/>
  <c r="G88" i="6" s="1"/>
  <c r="S6" i="1"/>
  <c r="I6" i="6" s="1"/>
  <c r="S7" i="1"/>
  <c r="I7" i="6" s="1"/>
  <c r="S8" i="1"/>
  <c r="I8" i="6" s="1"/>
  <c r="S9" i="1"/>
  <c r="I9" i="6" s="1"/>
  <c r="S10" i="1"/>
  <c r="I10" i="6" s="1"/>
  <c r="S11" i="1"/>
  <c r="I11" i="6" s="1"/>
  <c r="S13" i="1"/>
  <c r="I13" i="6" s="1"/>
  <c r="S14" i="1"/>
  <c r="I14" i="6" s="1"/>
  <c r="S15" i="1"/>
  <c r="I15" i="6" s="1"/>
  <c r="S17" i="1"/>
  <c r="I17" i="6" s="1"/>
  <c r="S18" i="1"/>
  <c r="I18" i="6" s="1"/>
  <c r="S19" i="1"/>
  <c r="I19" i="6" s="1"/>
  <c r="S22" i="1"/>
  <c r="I22" i="6" s="1"/>
  <c r="S23" i="1"/>
  <c r="I23" i="6" s="1"/>
  <c r="S24" i="1"/>
  <c r="I24" i="6" s="1"/>
  <c r="S25" i="1"/>
  <c r="I25" i="6" s="1"/>
  <c r="S26" i="1"/>
  <c r="I26" i="6" s="1"/>
  <c r="I27" i="6"/>
  <c r="S48" i="1"/>
  <c r="T4" i="6" s="1"/>
  <c r="S49" i="1"/>
  <c r="T5" i="6" s="1"/>
  <c r="S50" i="1"/>
  <c r="T6" i="6" s="1"/>
  <c r="S51" i="1"/>
  <c r="T7" i="6" s="1"/>
  <c r="S52" i="1"/>
  <c r="T8" i="6" s="1"/>
  <c r="S54" i="1"/>
  <c r="T10" i="6" s="1"/>
  <c r="S56" i="1"/>
  <c r="T11" i="6" s="1"/>
  <c r="S57" i="1"/>
  <c r="T12" i="6" s="1"/>
  <c r="S59" i="1"/>
  <c r="T14" i="6" s="1"/>
  <c r="S61" i="1"/>
  <c r="T16" i="6" s="1"/>
  <c r="S32" i="1"/>
  <c r="AE4" i="6" s="1"/>
  <c r="S33" i="1"/>
  <c r="AE5" i="6" s="1"/>
  <c r="S34" i="1"/>
  <c r="AE6" i="6" s="1"/>
  <c r="S35" i="1"/>
  <c r="AE7" i="6" s="1"/>
  <c r="S37" i="1"/>
  <c r="AE9" i="6" s="1"/>
  <c r="S38" i="1"/>
  <c r="AE10" i="6" s="1"/>
  <c r="S39" i="1"/>
  <c r="AE11" i="6" s="1"/>
  <c r="S40" i="1"/>
  <c r="AE12" i="6" s="1"/>
  <c r="S41" i="1"/>
  <c r="AE13" i="6" s="1"/>
  <c r="S42" i="1"/>
  <c r="AE14" i="6" s="1"/>
  <c r="S5" i="1"/>
  <c r="I5" i="6" s="1"/>
  <c r="P89" i="1"/>
  <c r="F68" i="6" l="1"/>
  <c r="AB23" i="6"/>
  <c r="P91" i="1"/>
  <c r="AB17" i="6"/>
  <c r="R91" i="1"/>
  <c r="AJ2" i="2"/>
  <c r="AK2" i="2" s="1"/>
  <c r="AL2" i="2" s="1"/>
  <c r="AO2" i="2" s="1"/>
  <c r="S44" i="1"/>
  <c r="AD25" i="6" l="1"/>
  <c r="F70" i="6"/>
  <c r="AB25" i="6"/>
  <c r="H70" i="6"/>
  <c r="S91" i="1"/>
  <c r="AE17" i="6"/>
  <c r="AQ2" i="2"/>
  <c r="AQ16" i="2"/>
  <c r="I70" i="6" l="1"/>
  <c r="AE25" i="6"/>
  <c r="AQ3" i="2"/>
  <c r="B2" i="2" s="1"/>
  <c r="AD9" i="2"/>
  <c r="AA35" i="4"/>
  <c r="Y4" i="4"/>
  <c r="Y5" i="4"/>
  <c r="B7" i="4" s="1"/>
  <c r="V6" i="4" l="1"/>
  <c r="Y6" i="4" s="1"/>
  <c r="B4" i="4" s="1"/>
  <c r="B6" i="4"/>
  <c r="Q31" i="6"/>
  <c r="F65" i="6" s="1"/>
  <c r="BT44" i="1" l="1"/>
  <c r="BW44" i="1" l="1"/>
  <c r="BX44" i="1" s="1"/>
  <c r="J44" i="1"/>
  <c r="J82" i="1" s="1"/>
  <c r="BT81" i="1"/>
  <c r="BX81" i="1" s="1"/>
  <c r="BY81" i="1" s="1"/>
  <c r="BZ81" i="1" s="1"/>
  <c r="CA81" i="1" s="1"/>
  <c r="Y17" i="6" l="1"/>
  <c r="C44" i="1"/>
  <c r="C45" i="1" s="1"/>
  <c r="B91" i="1" s="1"/>
  <c r="B93" i="1" s="1"/>
  <c r="B94" i="1" s="1"/>
  <c r="J83" i="1" s="1"/>
  <c r="J84" i="1" s="1"/>
  <c r="BY44" i="1"/>
  <c r="BZ44" i="1" s="1"/>
  <c r="CA44" i="1" s="1"/>
  <c r="C84" i="1" l="1"/>
  <c r="J93" i="1"/>
  <c r="B82" i="1"/>
  <c r="CB44" i="1"/>
  <c r="E95" i="1" l="1"/>
  <c r="J94" i="1" s="1"/>
  <c r="M94" i="1"/>
  <c r="L94" i="1"/>
  <c r="K94" i="1"/>
  <c r="CE44" i="1"/>
  <c r="CB81" i="1"/>
  <c r="CE81" i="1" s="1"/>
  <c r="CG81" i="1" s="1"/>
  <c r="BQ91" i="1" s="1"/>
  <c r="I91" i="1" s="1"/>
  <c r="N30" i="6"/>
  <c r="Y18" i="6" l="1"/>
  <c r="C82" i="1"/>
  <c r="B70" i="6"/>
  <c r="X25" i="6"/>
  <c r="CG44" i="1"/>
  <c r="I44" i="1" s="1"/>
  <c r="X17" i="6" s="1"/>
  <c r="J91" i="1"/>
  <c r="BT45" i="1"/>
  <c r="BW45" i="1" s="1"/>
  <c r="BX45" i="1" s="1"/>
  <c r="BT79" i="1"/>
  <c r="BX79" i="1" s="1"/>
  <c r="BY79" i="1" s="1"/>
  <c r="BZ79" i="1" s="1"/>
  <c r="CA79" i="1" s="1"/>
  <c r="BW78" i="1"/>
  <c r="BX78" i="1" s="1"/>
  <c r="Y25" i="6" l="1"/>
  <c r="C70" i="6"/>
  <c r="BY78" i="1"/>
  <c r="BY45" i="1"/>
  <c r="BZ45" i="1" l="1"/>
  <c r="CA45" i="1" s="1"/>
  <c r="CB45" i="1" s="1"/>
  <c r="CE45" i="1" s="1"/>
  <c r="CG45" i="1" s="1"/>
  <c r="BZ78" i="1"/>
  <c r="CA78" i="1" s="1"/>
  <c r="CB78" i="1" s="1"/>
  <c r="CB79" i="1" l="1"/>
  <c r="CE79" i="1" s="1"/>
  <c r="CG79" i="1" s="1"/>
  <c r="BQ90" i="1" s="1"/>
  <c r="I90" i="1" s="1"/>
  <c r="CE78" i="1"/>
  <c r="I94" i="1"/>
  <c r="X28" i="6" s="1"/>
  <c r="I82" i="1"/>
  <c r="X18" i="6" s="1"/>
  <c r="B69" i="6" l="1"/>
  <c r="X24" i="6"/>
  <c r="J90" i="1"/>
  <c r="CG78" i="1"/>
  <c r="I78" i="1" s="1"/>
  <c r="M30" i="6" s="1"/>
  <c r="Y24" i="6" l="1"/>
  <c r="C69" i="6"/>
  <c r="X90" i="1"/>
  <c r="U30" i="6"/>
  <c r="Y79" i="1"/>
  <c r="AF18" i="6"/>
  <c r="X84" i="1"/>
  <c r="AF19" i="6" s="1"/>
  <c r="R90" i="1"/>
  <c r="AF24" i="6" l="1"/>
  <c r="X93" i="1"/>
  <c r="P90" i="1"/>
  <c r="P82" i="1"/>
  <c r="S30" i="6"/>
  <c r="AD24" i="6"/>
  <c r="H69" i="6"/>
  <c r="Q30" i="6"/>
  <c r="S78" i="1"/>
  <c r="Y84" i="1"/>
  <c r="P93" i="1" l="1"/>
  <c r="AB24" i="6"/>
  <c r="AB18" i="6"/>
  <c r="F72" i="6" s="1"/>
  <c r="E89" i="6" s="1"/>
  <c r="G89" i="6" s="1"/>
  <c r="G90" i="6" s="1"/>
  <c r="F69" i="6"/>
  <c r="AB27" i="6"/>
  <c r="P94" i="1"/>
  <c r="T30" i="6"/>
  <c r="S90" i="1"/>
  <c r="Q95" i="1" l="1"/>
  <c r="Z96" i="1"/>
  <c r="AB96" i="1"/>
  <c r="M106" i="1"/>
  <c r="M138" i="1" s="1"/>
  <c r="M139" i="1" s="1"/>
  <c r="M140" i="1" s="1"/>
  <c r="M141" i="1" s="1"/>
  <c r="M142" i="1" s="1"/>
  <c r="AB28" i="6"/>
  <c r="F73" i="6"/>
  <c r="F91" i="6"/>
  <c r="AE24" i="6"/>
  <c r="I69" i="6"/>
  <c r="BA143" i="1"/>
  <c r="BE143" i="1" s="1"/>
  <c r="P114" i="1" l="1"/>
  <c r="Z101" i="1"/>
  <c r="M107" i="1"/>
  <c r="N118" i="1"/>
  <c r="O118" i="1" s="1"/>
  <c r="P118" i="1" s="1"/>
  <c r="Q118" i="1" s="1"/>
  <c r="L118" i="1"/>
  <c r="AB101" i="1"/>
  <c r="BF143" i="1"/>
  <c r="BF148" i="1" s="1"/>
  <c r="BG143" i="1"/>
  <c r="R29" i="1"/>
  <c r="H29" i="6" s="1"/>
  <c r="Z89" i="1"/>
  <c r="AO82" i="1"/>
  <c r="R84" i="1" s="1"/>
  <c r="R89" i="1"/>
  <c r="P116" i="1" l="1"/>
  <c r="P115" i="1"/>
  <c r="M108" i="1"/>
  <c r="M109" i="1" s="1"/>
  <c r="M110" i="1" s="1"/>
  <c r="AH23" i="6"/>
  <c r="AH27" i="6" s="1"/>
  <c r="Z93" i="1"/>
  <c r="AD19" i="6"/>
  <c r="AD23" i="6"/>
  <c r="H68" i="6"/>
  <c r="D91" i="1"/>
  <c r="S29" i="1"/>
  <c r="H28" i="6"/>
  <c r="S84" i="1"/>
  <c r="S28" i="1"/>
  <c r="Z94" i="1" l="1"/>
  <c r="R106" i="1"/>
  <c r="S82" i="1"/>
  <c r="S93" i="1" s="1"/>
  <c r="AE27" i="6" s="1"/>
  <c r="AD18" i="6"/>
  <c r="H72" i="6" s="1"/>
  <c r="H73" i="6" s="1"/>
  <c r="R93" i="1"/>
  <c r="I28" i="6"/>
  <c r="S89" i="1"/>
  <c r="R107" i="1" l="1"/>
  <c r="R138" i="1"/>
  <c r="R139" i="1" s="1"/>
  <c r="R140" i="1" s="1"/>
  <c r="R141" i="1" s="1"/>
  <c r="R142" i="1" s="1"/>
  <c r="R95" i="1"/>
  <c r="Z97" i="1"/>
  <c r="Z103" i="1" s="1"/>
  <c r="AE18" i="6"/>
  <c r="I72" i="6" s="1"/>
  <c r="P106" i="1"/>
  <c r="R94" i="1"/>
  <c r="AD27" i="6"/>
  <c r="AE23" i="6"/>
  <c r="I68" i="6"/>
  <c r="AS82" i="1"/>
  <c r="AR82" i="1"/>
  <c r="Y28" i="6"/>
  <c r="Z28" i="6"/>
  <c r="O102" i="1"/>
  <c r="R102" i="1"/>
  <c r="P107" i="1" l="1"/>
  <c r="P138" i="1"/>
  <c r="P139" i="1" s="1"/>
  <c r="P140" i="1" s="1"/>
  <c r="P141" i="1" s="1"/>
  <c r="P142" i="1" s="1"/>
  <c r="R108" i="1"/>
  <c r="R109" i="1" s="1"/>
  <c r="R110" i="1" s="1"/>
  <c r="AB103" i="1"/>
  <c r="R114" i="1"/>
  <c r="AB97" i="1"/>
  <c r="AD28" i="6"/>
  <c r="R116" i="1" l="1"/>
  <c r="R115" i="1"/>
  <c r="P108" i="1"/>
  <c r="P109" i="1" s="1"/>
  <c r="P110" i="1" s="1"/>
</calcChain>
</file>

<file path=xl/sharedStrings.xml><?xml version="1.0" encoding="utf-8"?>
<sst xmlns="http://schemas.openxmlformats.org/spreadsheetml/2006/main" count="870" uniqueCount="483">
  <si>
    <t>Algèbre</t>
  </si>
  <si>
    <t>Equation du premier degré</t>
  </si>
  <si>
    <t>Equation du second degré</t>
  </si>
  <si>
    <t>Analyse</t>
  </si>
  <si>
    <t>Limites :</t>
  </si>
  <si>
    <t>Série limitées :</t>
  </si>
  <si>
    <t>Intégrale :</t>
  </si>
  <si>
    <t>Géométrie</t>
  </si>
  <si>
    <t>Identités remarquables</t>
  </si>
  <si>
    <t>Géométrie triangulaire</t>
  </si>
  <si>
    <t>dérivée successives</t>
  </si>
  <si>
    <t>Analyse combinatoire</t>
  </si>
  <si>
    <t>Racine carrée, nième</t>
  </si>
  <si>
    <t>Sommations</t>
  </si>
  <si>
    <t>Système d’équation 2 2</t>
  </si>
  <si>
    <t>système d'équation 3,2</t>
  </si>
  <si>
    <t>Calculs matriciels</t>
  </si>
  <si>
    <t>0 D</t>
  </si>
  <si>
    <t>Le nombre pi</t>
  </si>
  <si>
    <t>Système d’équation 3.3</t>
  </si>
  <si>
    <t>Nombres complexes</t>
  </si>
  <si>
    <t>x</t>
  </si>
  <si>
    <t>Progression &amp; logarithmes</t>
  </si>
  <si>
    <t>Calculs financier</t>
  </si>
  <si>
    <t>Aire surface</t>
  </si>
  <si>
    <t>Volume</t>
  </si>
  <si>
    <t>Géométrie polygonales</t>
  </si>
  <si>
    <t>Σ</t>
  </si>
  <si>
    <t>Somme :</t>
  </si>
  <si>
    <t>Formule générale des développements</t>
  </si>
  <si>
    <t>Formule générale des séries</t>
  </si>
  <si>
    <t>Calcul hyperbolique</t>
  </si>
  <si>
    <t>Différentielle partielles</t>
  </si>
  <si>
    <t>Dérivée : formule générale</t>
  </si>
  <si>
    <t>Intégrale : formule générale</t>
  </si>
  <si>
    <t>Intégrale définie</t>
  </si>
  <si>
    <t>Equation du quatrième degré</t>
  </si>
  <si>
    <t>Equation différentielles</t>
  </si>
  <si>
    <t>Calcul vectoriel</t>
  </si>
  <si>
    <t>Géométrie plane</t>
  </si>
  <si>
    <t>Géométrie analytique</t>
  </si>
  <si>
    <t>Conique</t>
  </si>
  <si>
    <t>Total</t>
  </si>
  <si>
    <t>Courbes diverses</t>
  </si>
  <si>
    <t>Calculs arithmético-algébrique</t>
  </si>
  <si>
    <t>Polynôme rationnelle</t>
  </si>
  <si>
    <t>Carré</t>
  </si>
  <si>
    <t>rectangle</t>
  </si>
  <si>
    <t>paralélogramme</t>
  </si>
  <si>
    <t>triangle rectangle isocèle</t>
  </si>
  <si>
    <t>triangle rectangle</t>
  </si>
  <si>
    <t>triangle isocèle</t>
  </si>
  <si>
    <t>triangle équilatérale</t>
  </si>
  <si>
    <t>Médiatrice</t>
  </si>
  <si>
    <t>Milieu</t>
  </si>
  <si>
    <t>losange</t>
  </si>
  <si>
    <t>Polygnone régulier :</t>
  </si>
  <si>
    <t>Pentagone</t>
  </si>
  <si>
    <t>Hexagone</t>
  </si>
  <si>
    <t>octogone</t>
  </si>
  <si>
    <t>décagone</t>
  </si>
  <si>
    <t>dodécagone</t>
  </si>
  <si>
    <t>pentadécagone</t>
  </si>
  <si>
    <t>hexadécagone</t>
  </si>
  <si>
    <t>octodécagone</t>
  </si>
  <si>
    <t>Le degré</t>
  </si>
  <si>
    <t>Le raporteur</t>
  </si>
  <si>
    <t>icosagone</t>
  </si>
  <si>
    <t>Ennéagone</t>
  </si>
  <si>
    <t>trajectoire circulaire du cercle</t>
  </si>
  <si>
    <t>cône</t>
  </si>
  <si>
    <t>tronc d'un cone</t>
  </si>
  <si>
    <t>couronne</t>
  </si>
  <si>
    <t>fuseau</t>
  </si>
  <si>
    <t>calotte</t>
  </si>
  <si>
    <t>Tore</t>
  </si>
  <si>
    <t>segment sphérique</t>
  </si>
  <si>
    <t>secteur sphérique</t>
  </si>
  <si>
    <t>cylindre</t>
  </si>
  <si>
    <t>cube</t>
  </si>
  <si>
    <t>parallélépipède</t>
  </si>
  <si>
    <t>pyramide</t>
  </si>
  <si>
    <t>tronc d'une pyramide</t>
  </si>
  <si>
    <t>Ellipsoïde</t>
  </si>
  <si>
    <t>Effet sphérique</t>
  </si>
  <si>
    <t>trajectoire elliptique du cercle &amp; l'ellipse</t>
  </si>
  <si>
    <t>spirale</t>
  </si>
  <si>
    <t>Formulaire</t>
  </si>
  <si>
    <t>différentielle nième</t>
  </si>
  <si>
    <t>Dérivées premières</t>
  </si>
  <si>
    <t>Equation du cinquième degré</t>
  </si>
  <si>
    <t>Droite</t>
  </si>
  <si>
    <t>Parabole</t>
  </si>
  <si>
    <t>Hyperbole</t>
  </si>
  <si>
    <t>Sphère</t>
  </si>
  <si>
    <t xml:space="preserve"> / </t>
  </si>
  <si>
    <t xml:space="preserve"> % </t>
  </si>
  <si>
    <t>Site</t>
  </si>
  <si>
    <t>n° 01</t>
  </si>
  <si>
    <t>²</t>
  </si>
  <si>
    <t>Intégrale double</t>
  </si>
  <si>
    <t>Intégrale triple</t>
  </si>
  <si>
    <t>Fonctions</t>
  </si>
  <si>
    <t>Trigonométrie circulaire</t>
  </si>
  <si>
    <t xml:space="preserve"> %</t>
  </si>
  <si>
    <t>Suite numérique</t>
  </si>
  <si>
    <t>Formules et méthodes démontrées</t>
  </si>
  <si>
    <t>Méthodes et formules démontrées</t>
  </si>
  <si>
    <r>
      <t>Equation polygonales (</t>
    </r>
    <r>
      <rPr>
        <sz val="11"/>
        <color theme="1"/>
        <rFont val="Arial"/>
        <family val="2"/>
      </rPr>
      <t>Ɣ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Symbol"/>
        <family val="1"/>
        <charset val="2"/>
      </rPr>
      <t>^</t>
    </r>
    <r>
      <rPr>
        <sz val="11"/>
        <color theme="1"/>
        <rFont val="Times New Roman"/>
        <family val="1"/>
      </rPr>
      <t xml:space="preserve">, </t>
    </r>
    <r>
      <rPr>
        <sz val="11"/>
        <color theme="1"/>
        <rFont val="Arial"/>
        <family val="2"/>
      </rPr>
      <t>Ɣ</t>
    </r>
    <r>
      <rPr>
        <sz val="11"/>
        <color theme="1"/>
        <rFont val="Times New Roman"/>
        <family val="1"/>
      </rPr>
      <t xml:space="preserve"> // ; </t>
    </r>
    <r>
      <rPr>
        <sz val="11"/>
        <color theme="1"/>
        <rFont val="Arial"/>
        <family val="2"/>
      </rPr>
      <t xml:space="preserve">Ɣ </t>
    </r>
    <r>
      <rPr>
        <sz val="11"/>
        <color theme="1"/>
        <rFont val="Times New Roman"/>
        <family val="1"/>
      </rPr>
      <t>cord, r)</t>
    </r>
  </si>
  <si>
    <t>Equation polynomiales</t>
  </si>
  <si>
    <t>Erudit</t>
  </si>
  <si>
    <t>découverte, amélioration</t>
  </si>
  <si>
    <t>Amélioration</t>
  </si>
  <si>
    <t>Découverte, amélioration</t>
  </si>
  <si>
    <t>Découvete, amélioration</t>
  </si>
  <si>
    <t>Découverte, Autodidacte, amélioriation</t>
  </si>
  <si>
    <t>scolaire</t>
  </si>
  <si>
    <t>Découverte</t>
  </si>
  <si>
    <t>Découverte, Amélioration, livre(infime)</t>
  </si>
  <si>
    <t>Livres</t>
  </si>
  <si>
    <t>autodidacte</t>
  </si>
  <si>
    <t>Erudit, autodidacte</t>
  </si>
  <si>
    <t>Découverte &amp; amélioration</t>
  </si>
  <si>
    <t>Scolaire</t>
  </si>
  <si>
    <t>Découverte &amp; amélioration, dérivée succéssives</t>
  </si>
  <si>
    <t>Découverte, formulaire</t>
  </si>
  <si>
    <t>scolatique</t>
  </si>
  <si>
    <t>Découverte &amp; formulaire</t>
  </si>
  <si>
    <t xml:space="preserve">Amélioration, formulaire </t>
  </si>
  <si>
    <t>Erudit, scolaire</t>
  </si>
  <si>
    <t>Système gaussien</t>
  </si>
  <si>
    <t>Fonctions Rationnelles</t>
  </si>
  <si>
    <t>Fonction Irrationnelles</t>
  </si>
  <si>
    <t>Fonctions trigonométriques</t>
  </si>
  <si>
    <t>Fonctions trigonométrique réciproques</t>
  </si>
  <si>
    <t>Fonction exponentielles</t>
  </si>
  <si>
    <t xml:space="preserve">Fonctions Logarithmes (21+ 16 - 7 ) </t>
  </si>
  <si>
    <t>D</t>
  </si>
  <si>
    <t>1/2 D</t>
  </si>
  <si>
    <t>nb côté</t>
  </si>
  <si>
    <t>Libéllé</t>
  </si>
  <si>
    <t>Racine ( carré, cubique, n ième )</t>
  </si>
  <si>
    <t xml:space="preserve">Nombre d'objet découvert : </t>
  </si>
  <si>
    <t xml:space="preserve">Nombre d'objet tracé : </t>
  </si>
  <si>
    <t xml:space="preserve">Nombre d'objet modifié :  </t>
  </si>
  <si>
    <t xml:space="preserve">Nombre d'objet Découvert ou Modifié : </t>
  </si>
  <si>
    <t xml:space="preserve">Nombre d'objet construit : </t>
  </si>
  <si>
    <t xml:space="preserve"> = </t>
  </si>
  <si>
    <t>dos</t>
  </si>
  <si>
    <t>%</t>
  </si>
  <si>
    <t>nb</t>
  </si>
  <si>
    <t xml:space="preserve"> de l'algèbre</t>
  </si>
  <si>
    <t xml:space="preserve"> ( </t>
  </si>
  <si>
    <t xml:space="preserve"> ) </t>
  </si>
  <si>
    <t xml:space="preserve"> dossiers</t>
  </si>
  <si>
    <t xml:space="preserve"> dossiers </t>
  </si>
  <si>
    <t>Aire, surface</t>
  </si>
  <si>
    <t>Forme quadratique :</t>
  </si>
  <si>
    <t>Forme sphérique :</t>
  </si>
  <si>
    <t>Hyperboloïde</t>
  </si>
  <si>
    <t>Paraboloïde</t>
  </si>
  <si>
    <t xml:space="preserve">Nombre d'objet construit  : </t>
  </si>
  <si>
    <t xml:space="preserve">Le cercle </t>
  </si>
  <si>
    <t>T</t>
  </si>
  <si>
    <t>Quadrilatère régulier :</t>
  </si>
  <si>
    <t>Perpendiculaire</t>
  </si>
  <si>
    <t>Bissectrice</t>
  </si>
  <si>
    <t>tangente</t>
  </si>
  <si>
    <t>Arc sin, Arc cos, Arc tan</t>
  </si>
  <si>
    <t>Exponentielle</t>
  </si>
  <si>
    <t>sinusoïdale, cosinusoïdale</t>
  </si>
  <si>
    <t>Σ T</t>
  </si>
  <si>
    <t>DM</t>
  </si>
  <si>
    <t>M &amp; D</t>
  </si>
  <si>
    <t>fonction analytique dans le plan</t>
  </si>
  <si>
    <t>Polyèdre régulier</t>
  </si>
  <si>
    <t>polynomiale</t>
  </si>
  <si>
    <t>rationnelle</t>
  </si>
  <si>
    <t>irrationnelle</t>
  </si>
  <si>
    <t>trigonométrique</t>
  </si>
  <si>
    <t>trigo réciproque</t>
  </si>
  <si>
    <t>ln</t>
  </si>
  <si>
    <t>e^x</t>
  </si>
  <si>
    <t>trigo hyperboliqeu</t>
  </si>
  <si>
    <t>arg trigo</t>
  </si>
  <si>
    <t>Courbe hyperbollque Ch, Sh, Th</t>
  </si>
  <si>
    <t>Rotation de la droite</t>
  </si>
  <si>
    <t>spirale Btèr (ou naturelle)</t>
  </si>
  <si>
    <t>spirale Nert (ou circonscrite)</t>
  </si>
  <si>
    <t>Spirale régulière Nert</t>
  </si>
  <si>
    <t>6ième</t>
  </si>
  <si>
    <t>5ième</t>
  </si>
  <si>
    <t>4ième</t>
  </si>
  <si>
    <t>3ième</t>
  </si>
  <si>
    <t>Bep orsu 1</t>
  </si>
  <si>
    <t>Bep compta 1</t>
  </si>
  <si>
    <t xml:space="preserve">Bep compta </t>
  </si>
  <si>
    <t>DEAU</t>
  </si>
  <si>
    <t>Scolaire (Algèbre)</t>
  </si>
  <si>
    <t>exp</t>
  </si>
  <si>
    <t>série calculatrice</t>
  </si>
  <si>
    <t>différentielle</t>
  </si>
  <si>
    <t>Cercle, Ellipse</t>
  </si>
  <si>
    <t>Extra scolaire</t>
  </si>
  <si>
    <t>dossier (1 mois)</t>
  </si>
  <si>
    <t>ans</t>
  </si>
  <si>
    <t xml:space="preserve">  ans</t>
  </si>
  <si>
    <t xml:space="preserve"> Mois</t>
  </si>
  <si>
    <t>série littérale</t>
  </si>
  <si>
    <t>dérivée succéssives</t>
  </si>
  <si>
    <t xml:space="preserve"> &amp; </t>
  </si>
  <si>
    <t xml:space="preserve"> ans</t>
  </si>
  <si>
    <t xml:space="preserve"> Années </t>
  </si>
  <si>
    <t>en modification</t>
  </si>
  <si>
    <t>BEP Electrotech</t>
  </si>
  <si>
    <t>h</t>
  </si>
  <si>
    <t xml:space="preserve"> heures </t>
  </si>
  <si>
    <t xml:space="preserve"> (</t>
  </si>
  <si>
    <t>Gauss (3 ; 3)</t>
  </si>
  <si>
    <t xml:space="preserve"> Ans  </t>
  </si>
  <si>
    <t>M</t>
  </si>
  <si>
    <t xml:space="preserve">Durée Moyenne du dossier formulée : </t>
  </si>
  <si>
    <t xml:space="preserve">Temps total du dossier formulée : </t>
  </si>
  <si>
    <t>5 Années de formules modifiés</t>
  </si>
  <si>
    <t>4 ans de mathématiques semi professionnelle (DEAU, Blog)</t>
  </si>
  <si>
    <t xml:space="preserve">Mathématique annuelle : </t>
  </si>
  <si>
    <t>7 Années de formules découvertes</t>
  </si>
  <si>
    <t>Nombre d'idée annuelle en mathématiques</t>
  </si>
  <si>
    <t>Moyenne d'idée fondamentale par an :</t>
  </si>
  <si>
    <t>Nombre d'idée fondamentale annuelle :</t>
  </si>
  <si>
    <t xml:space="preserve"> années</t>
  </si>
  <si>
    <t xml:space="preserve">Nombre d'année d'idée fondamentale : </t>
  </si>
  <si>
    <t>Durée Moyenne du traitement du dossier (ouvert et fermée) : 1 Mois</t>
  </si>
  <si>
    <t xml:space="preserve">Mathématique annuelle : 22 Années </t>
  </si>
  <si>
    <t>Mathématique hebdomadaire (6ième à aujourd'hui) :</t>
  </si>
  <si>
    <t>Nombre d'année d'idée fondamentale : 8 années / 22 ans = 36,36%</t>
  </si>
  <si>
    <t>3 Ans de mathématiques  semi professionnelle</t>
  </si>
  <si>
    <t xml:space="preserve">1752 heures de mathématique hebodomadaire ( 83 Mois = 7 ans ) </t>
  </si>
  <si>
    <t>Ellipse focal oblique</t>
  </si>
  <si>
    <t>Ellipse focal axial</t>
  </si>
  <si>
    <t>Courbe hyperbolique réciproque</t>
  </si>
  <si>
    <t xml:space="preserve">Spirale Agrégée (ou </t>
  </si>
  <si>
    <t>Trigonométrie circulaire</t>
  </si>
  <si>
    <t>Courbe logarithmique</t>
  </si>
  <si>
    <t>Temps total du traitement du dossier (ouvert &amp; fermée) : 1  ans &amp; 9 Mois</t>
  </si>
  <si>
    <t xml:space="preserve">Equation du troisième degré </t>
  </si>
  <si>
    <t>Système d’équation 3.3 (15 formes ¹ )</t>
  </si>
  <si>
    <t xml:space="preserve">Géométrie ( 2 dossiers / 10 = 20% ) </t>
  </si>
  <si>
    <t xml:space="preserve">Analyse ( 4 dossiers / 20 = 20% ) </t>
  </si>
  <si>
    <t>de mathématique scolaire compilées</t>
  </si>
  <si>
    <t>de mathématique hebodomadaire compilées</t>
  </si>
  <si>
    <t>de formules modifiés cumulées</t>
  </si>
  <si>
    <t xml:space="preserve"> de mathématiques  semi professionnelle compilées</t>
  </si>
  <si>
    <t>formule découverte cumulées</t>
  </si>
  <si>
    <t>3 ième</t>
  </si>
  <si>
    <t>6 ième</t>
  </si>
  <si>
    <t>5 ième</t>
  </si>
  <si>
    <t>4 ième</t>
  </si>
  <si>
    <t>BEP ORSU</t>
  </si>
  <si>
    <t>BEP ACC</t>
  </si>
  <si>
    <t>1ère G2</t>
  </si>
  <si>
    <t>Term G2</t>
  </si>
  <si>
    <t>BEP Electrotechnique</t>
  </si>
  <si>
    <t>BEP Electrotechique</t>
  </si>
  <si>
    <t>m</t>
  </si>
  <si>
    <t>A</t>
  </si>
  <si>
    <t>mois</t>
  </si>
  <si>
    <t>Gauss</t>
  </si>
  <si>
    <t>Différentielle</t>
  </si>
  <si>
    <t>cercle, Ellipse</t>
  </si>
  <si>
    <t>Série de la calculatrice</t>
  </si>
  <si>
    <t>Exponentielle (Calculatrice)</t>
  </si>
  <si>
    <t>2 ième</t>
  </si>
  <si>
    <t>BEP Compta</t>
  </si>
  <si>
    <t>Dérivés successives, Série Limitées</t>
  </si>
  <si>
    <t>Différentielle nième (sigma)</t>
  </si>
  <si>
    <t>Différentielle ( u + delat U)</t>
  </si>
  <si>
    <t>Morez</t>
  </si>
  <si>
    <t>Champagnole</t>
  </si>
  <si>
    <t>Lons le saunier</t>
  </si>
  <si>
    <t>Besançon</t>
  </si>
  <si>
    <t>Morez, Informatique, Works</t>
  </si>
  <si>
    <t>Saisie informatique</t>
  </si>
  <si>
    <t>Informatique, Excel</t>
  </si>
  <si>
    <t>Informatique Excel</t>
  </si>
  <si>
    <t>Années</t>
  </si>
  <si>
    <t>Algèbre scolaire</t>
  </si>
  <si>
    <t>Concaténation des fonctions</t>
  </si>
  <si>
    <t>Année</t>
  </si>
  <si>
    <t>session</t>
  </si>
  <si>
    <t>nb formules  (Date D-1 ; D )</t>
  </si>
  <si>
    <t>double</t>
  </si>
  <si>
    <t>double dans le même domaine</t>
  </si>
  <si>
    <t>Nombre</t>
  </si>
  <si>
    <t>chapitre</t>
  </si>
  <si>
    <t>2x</t>
  </si>
  <si>
    <t>2Xn</t>
  </si>
  <si>
    <t>Nombre de formule écrite :</t>
  </si>
  <si>
    <t>Equations différentielles</t>
  </si>
  <si>
    <t>Equations quadratique</t>
  </si>
  <si>
    <t>EQUIPE 21</t>
  </si>
  <si>
    <t>Arithm.</t>
  </si>
  <si>
    <t>Alg.</t>
  </si>
  <si>
    <t>Anal.</t>
  </si>
  <si>
    <t>Géo.</t>
  </si>
  <si>
    <t>Non divulgué</t>
  </si>
  <si>
    <t>copié</t>
  </si>
  <si>
    <t>stat</t>
  </si>
  <si>
    <t>proba</t>
  </si>
  <si>
    <t>Dossier inconnu</t>
  </si>
  <si>
    <t>Formules modifié</t>
  </si>
  <si>
    <t>Formule reconstitué</t>
  </si>
  <si>
    <t>Min</t>
  </si>
  <si>
    <t>Max</t>
  </si>
  <si>
    <t>Moy</t>
  </si>
  <si>
    <t>Rotation de la perpendiculaire</t>
  </si>
  <si>
    <t>Rotation du repère carthésien</t>
  </si>
  <si>
    <t>Droite (horizontale, verticale, oblique )</t>
  </si>
  <si>
    <t>différentielle nième (44) ; (Formul G &amp; listes)</t>
  </si>
  <si>
    <t>OD</t>
  </si>
  <si>
    <t>F</t>
  </si>
  <si>
    <t>Mon</t>
  </si>
  <si>
    <t>Leur</t>
  </si>
  <si>
    <t>Total (fonction Min, Moy, Max</t>
  </si>
  <si>
    <t>Moyenne sur 52 dossier</t>
  </si>
  <si>
    <t>Septembre</t>
  </si>
  <si>
    <t>Janvier</t>
  </si>
  <si>
    <t>Février</t>
  </si>
  <si>
    <t>Mars</t>
  </si>
  <si>
    <t>Mai</t>
  </si>
  <si>
    <t>Juin</t>
  </si>
  <si>
    <t>Juillet</t>
  </si>
  <si>
    <t>Aout</t>
  </si>
  <si>
    <t>Novembre</t>
  </si>
  <si>
    <t>Décembre</t>
  </si>
  <si>
    <t>Septembre 2016</t>
  </si>
  <si>
    <t>Janvier 2017</t>
  </si>
  <si>
    <t>Février 2017</t>
  </si>
  <si>
    <t>Mars 2017</t>
  </si>
  <si>
    <t>Mai 2017</t>
  </si>
  <si>
    <t>Juin 2017</t>
  </si>
  <si>
    <t>Juillet 2017</t>
  </si>
  <si>
    <t>Aout 2017</t>
  </si>
  <si>
    <t>Septembre 2017</t>
  </si>
  <si>
    <t>Novembre 2017</t>
  </si>
  <si>
    <t>Décembre 2017</t>
  </si>
  <si>
    <t>Refondés</t>
  </si>
  <si>
    <t>Reconstitué</t>
  </si>
  <si>
    <t>Dévoilé</t>
  </si>
  <si>
    <t>Modifié</t>
  </si>
  <si>
    <t>Reformaté</t>
  </si>
  <si>
    <t>Mois</t>
  </si>
  <si>
    <t>n-1</t>
  </si>
  <si>
    <t>Nombre de formule écrites</t>
  </si>
  <si>
    <t>Trigonométrie hyperbolique</t>
  </si>
  <si>
    <t>Dérivée successive, suite numérique</t>
  </si>
  <si>
    <t>Fonction hyperbolqiue</t>
  </si>
  <si>
    <t>Intégrale : Généralité et type d'intégration</t>
  </si>
  <si>
    <t>Intégrales usuelles de fonction de référence</t>
  </si>
  <si>
    <t>Fonction Polynomiales</t>
  </si>
  <si>
    <t>Nombre de formule écrites (double ; doublet) :</t>
  </si>
  <si>
    <t>Org.</t>
  </si>
  <si>
    <t>Séries limitées :</t>
  </si>
  <si>
    <t>nombre de dossiers</t>
  </si>
  <si>
    <t>Nombre de dossiers</t>
  </si>
  <si>
    <t>Nombre de dossier incomplet</t>
  </si>
  <si>
    <t xml:space="preserve">Total de Dossier et formule écrites (2ble) : </t>
  </si>
  <si>
    <t>Mes stats</t>
  </si>
  <si>
    <t>nb année</t>
  </si>
  <si>
    <t>Nb formule</t>
  </si>
  <si>
    <t>nb formule sur 9 mois</t>
  </si>
  <si>
    <t>nb formule par mois</t>
  </si>
  <si>
    <t>nb formule par semaine</t>
  </si>
  <si>
    <t>nb formule par séance ( 3 séance de 2 h)</t>
  </si>
  <si>
    <t>Total ( Nb dossier incomplet, formules)</t>
  </si>
  <si>
    <t>cop</t>
  </si>
  <si>
    <t>n°</t>
  </si>
  <si>
    <t>01</t>
  </si>
  <si>
    <t>nb D</t>
  </si>
  <si>
    <t>1/ D</t>
  </si>
  <si>
    <t>1 D</t>
  </si>
  <si>
    <t>nb formules</t>
  </si>
  <si>
    <t>rcor</t>
  </si>
  <si>
    <t>nb f</t>
  </si>
  <si>
    <t>Nombre de dossier modié</t>
  </si>
  <si>
    <t>=</t>
  </si>
  <si>
    <t>)</t>
  </si>
  <si>
    <t xml:space="preserve"> dossiers modifiés </t>
  </si>
  <si>
    <t xml:space="preserve">( </t>
  </si>
  <si>
    <t>PRIVES</t>
  </si>
  <si>
    <t>D'après les livres, liste, table, formulaire Dunot</t>
  </si>
  <si>
    <t>PERSO</t>
  </si>
  <si>
    <t>Collect</t>
  </si>
  <si>
    <t>Ind</t>
  </si>
  <si>
    <t>Livre</t>
  </si>
  <si>
    <t>n°1</t>
  </si>
  <si>
    <t>Dossier</t>
  </si>
  <si>
    <t>Statisque personnel non prouvable</t>
  </si>
  <si>
    <t>Alg</t>
  </si>
  <si>
    <t>An</t>
  </si>
  <si>
    <t>G</t>
  </si>
  <si>
    <t>Org</t>
  </si>
  <si>
    <t>1/2 T</t>
  </si>
  <si>
    <t xml:space="preserve">Total du Nombre d'objets </t>
  </si>
  <si>
    <t>nb formule sur 2 ans</t>
  </si>
  <si>
    <t>Limites : ( limite ,n ième  )</t>
  </si>
  <si>
    <t xml:space="preserve"> Ans</t>
  </si>
  <si>
    <t xml:space="preserve"> Années</t>
  </si>
  <si>
    <t xml:space="preserve"> de mathématiques  semi professionnelle</t>
  </si>
  <si>
    <t xml:space="preserve"> Mathématique annuelle :  </t>
  </si>
  <si>
    <t>de formules modifiés</t>
  </si>
  <si>
    <t>de formules découvertes</t>
  </si>
  <si>
    <t>nb années</t>
  </si>
  <si>
    <t>Soit les démonstrations existe déjà :</t>
  </si>
  <si>
    <t>1-3 L</t>
  </si>
  <si>
    <t>10-30 " à 2 '</t>
  </si>
  <si>
    <t>pages</t>
  </si>
  <si>
    <t>Arithmétique</t>
  </si>
  <si>
    <t>Statistique</t>
  </si>
  <si>
    <t>Probabilité</t>
  </si>
  <si>
    <t>Fonctions Analytique</t>
  </si>
  <si>
    <t>Développement limités (Limites)</t>
  </si>
  <si>
    <t>Equation du troisième degré</t>
  </si>
  <si>
    <t>nb pages</t>
  </si>
  <si>
    <t>Calcul algébrique</t>
  </si>
  <si>
    <t>Equation du 1er degré</t>
  </si>
  <si>
    <t>Equasys 2 2</t>
  </si>
  <si>
    <t>Equasys 3,3</t>
  </si>
  <si>
    <t>Trigonométrie baique</t>
  </si>
  <si>
    <t>Nombre complexe</t>
  </si>
  <si>
    <t>Calcul Matriciel</t>
  </si>
  <si>
    <t>Algèbre financière</t>
  </si>
  <si>
    <t>Calculs différentielles</t>
  </si>
  <si>
    <t>Calculs Intégrales</t>
  </si>
  <si>
    <t>Application numérique</t>
  </si>
  <si>
    <t>Polynôme de Tchébytchev</t>
  </si>
  <si>
    <t>Trigonométrie Circulaire</t>
  </si>
  <si>
    <t>Gémétrie triangulaire</t>
  </si>
  <si>
    <t>Trigonométrie Elliptique</t>
  </si>
  <si>
    <t>fascicule 1</t>
  </si>
  <si>
    <t>fascicule 2</t>
  </si>
  <si>
    <t>Syntèse</t>
  </si>
  <si>
    <t>nb pages totales</t>
  </si>
  <si>
    <t>Géométries</t>
  </si>
  <si>
    <t>Reconstitution</t>
  </si>
  <si>
    <t>Synthèse Algébrique</t>
  </si>
  <si>
    <t>Synthèse Différentielle</t>
  </si>
  <si>
    <t>Synthèse Trignométrique</t>
  </si>
  <si>
    <t>Formulaire organigraphique</t>
  </si>
  <si>
    <t>par</t>
  </si>
  <si>
    <t>fascicules</t>
  </si>
  <si>
    <t>Fascicules</t>
  </si>
  <si>
    <t>Fascicule</t>
  </si>
  <si>
    <t>synthèse</t>
  </si>
  <si>
    <t>Organigraphe</t>
  </si>
  <si>
    <t>VIRUS</t>
  </si>
  <si>
    <t>INFORMATIQUE</t>
  </si>
  <si>
    <t>de mes</t>
  </si>
  <si>
    <t>TOTAL</t>
  </si>
  <si>
    <t>A LA POUBELLE</t>
  </si>
  <si>
    <t xml:space="preserve">DES </t>
  </si>
  <si>
    <t>PAGES</t>
  </si>
  <si>
    <t>ECRITES</t>
  </si>
  <si>
    <t>DETRUIT PAR</t>
  </si>
  <si>
    <t>3/4 D</t>
  </si>
  <si>
    <t>1/4 D</t>
  </si>
  <si>
    <t>1 L</t>
  </si>
  <si>
    <t xml:space="preserve">     Fonction du premier degré</t>
  </si>
  <si>
    <t xml:space="preserve">     Fonction du second degré</t>
  </si>
  <si>
    <t xml:space="preserve">     Fonction du troisième degré</t>
  </si>
  <si>
    <t>Géométrie Vectorielle</t>
  </si>
  <si>
    <t xml:space="preserve">Formule démontrée non dévoilée : </t>
  </si>
  <si>
    <t>Formule modifié entre 98% à 50%</t>
  </si>
  <si>
    <t>1D</t>
  </si>
  <si>
    <t>:</t>
  </si>
  <si>
    <t>S. arithmétique, géométrique, logarithmique</t>
  </si>
  <si>
    <t>Différentielle partielles (6 form &amp; 2 formul)</t>
  </si>
  <si>
    <t>sur :</t>
  </si>
  <si>
    <t xml:space="preserve">Analyse </t>
  </si>
  <si>
    <t>Analyse fonctionnelle</t>
  </si>
  <si>
    <t>Nombre de Mois :</t>
  </si>
  <si>
    <t>DEAU ( 2 ans )</t>
  </si>
  <si>
    <r>
      <t xml:space="preserve">Equation polygonales (Ɣ//, Ɣ </t>
    </r>
    <r>
      <rPr>
        <sz val="10"/>
        <color theme="1"/>
        <rFont val="Euclid Symbol"/>
        <family val="1"/>
        <charset val="2"/>
      </rPr>
      <t>^</t>
    </r>
    <r>
      <rPr>
        <sz val="10"/>
        <color theme="1"/>
        <rFont val="Times New Roman"/>
        <family val="1"/>
      </rPr>
      <t xml:space="preserve"> ; Ɣ cord,)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</si>
</sst>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Symbol"/>
      <family val="1"/>
      <charset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0"/>
      <color theme="1"/>
      <name val="Euclid Symbol"/>
      <family val="1"/>
      <charset val="2"/>
    </font>
    <font>
      <sz val="10"/>
      <color rgb="FF0000FF"/>
      <name val="Times New Roman"/>
      <family val="1"/>
    </font>
    <font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3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quotePrefix="1"/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12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/>
    <xf numFmtId="0" fontId="3" fillId="0" borderId="3" xfId="0" applyFont="1" applyBorder="1"/>
    <xf numFmtId="0" fontId="3" fillId="0" borderId="13" xfId="0" applyFont="1" applyBorder="1" applyAlignment="1">
      <alignment horizontal="center" vertical="center" wrapText="1"/>
    </xf>
    <xf numFmtId="9" fontId="3" fillId="0" borderId="4" xfId="1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9" fontId="3" fillId="0" borderId="6" xfId="1" applyFont="1" applyBorder="1"/>
    <xf numFmtId="0" fontId="3" fillId="0" borderId="2" xfId="0" applyFont="1" applyBorder="1"/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9" fontId="3" fillId="0" borderId="15" xfId="1" applyFont="1" applyBorder="1"/>
    <xf numFmtId="9" fontId="3" fillId="0" borderId="0" xfId="1" applyFont="1" applyBorder="1"/>
    <xf numFmtId="0" fontId="3" fillId="0" borderId="7" xfId="0" applyFont="1" applyBorder="1"/>
    <xf numFmtId="9" fontId="3" fillId="0" borderId="8" xfId="1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15" xfId="0" applyFont="1" applyBorder="1" applyAlignment="1">
      <alignment horizontal="center"/>
    </xf>
    <xf numFmtId="10" fontId="3" fillId="0" borderId="14" xfId="1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0" fontId="3" fillId="0" borderId="15" xfId="1" applyNumberFormat="1" applyFont="1" applyBorder="1" applyAlignment="1">
      <alignment horizontal="center"/>
    </xf>
    <xf numFmtId="0" fontId="2" fillId="0" borderId="0" xfId="0" applyFont="1"/>
    <xf numFmtId="0" fontId="3" fillId="0" borderId="12" xfId="0" applyFont="1" applyFill="1" applyBorder="1" applyAlignment="1">
      <alignment horizontal="center"/>
    </xf>
    <xf numFmtId="1" fontId="0" fillId="0" borderId="0" xfId="0" applyNumberFormat="1"/>
    <xf numFmtId="1" fontId="0" fillId="0" borderId="0" xfId="0" quotePrefix="1" applyNumberFormat="1"/>
    <xf numFmtId="0" fontId="0" fillId="0" borderId="0" xfId="1" applyNumberFormat="1" applyFont="1"/>
    <xf numFmtId="9" fontId="3" fillId="0" borderId="8" xfId="1" applyFont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quotePrefix="1" applyFont="1" applyBorder="1"/>
    <xf numFmtId="9" fontId="3" fillId="0" borderId="12" xfId="1" applyFont="1" applyBorder="1" applyAlignment="1">
      <alignment horizontal="center"/>
    </xf>
    <xf numFmtId="0" fontId="3" fillId="0" borderId="12" xfId="0" applyFont="1" applyBorder="1" applyAlignment="1"/>
    <xf numFmtId="0" fontId="3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0" xfId="0" applyFont="1" applyBorder="1" applyAlignment="1">
      <alignment horizontal="left" vertical="center" wrapText="1"/>
    </xf>
    <xf numFmtId="9" fontId="3" fillId="0" borderId="10" xfId="1" applyFont="1" applyBorder="1"/>
    <xf numFmtId="12" fontId="3" fillId="0" borderId="6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9" fontId="3" fillId="0" borderId="1" xfId="1" applyFont="1" applyBorder="1"/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9" fontId="3" fillId="0" borderId="9" xfId="1" applyFont="1" applyBorder="1"/>
    <xf numFmtId="0" fontId="3" fillId="0" borderId="5" xfId="0" applyFont="1" applyBorder="1" applyAlignment="1">
      <alignment horizontal="left" vertical="center" wrapText="1"/>
    </xf>
    <xf numFmtId="12" fontId="3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10" fontId="7" fillId="0" borderId="12" xfId="1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 vertical="center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 vertical="center"/>
    </xf>
    <xf numFmtId="0" fontId="3" fillId="0" borderId="6" xfId="0" applyFont="1" applyFill="1" applyBorder="1" applyAlignment="1">
      <alignment horizontal="center"/>
    </xf>
    <xf numFmtId="0" fontId="3" fillId="0" borderId="13" xfId="0" applyFont="1" applyBorder="1"/>
    <xf numFmtId="0" fontId="3" fillId="0" borderId="0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Fill="1" applyBorder="1"/>
    <xf numFmtId="10" fontId="3" fillId="0" borderId="14" xfId="1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/>
    <xf numFmtId="0" fontId="3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0" fontId="3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10" fontId="0" fillId="0" borderId="0" xfId="1" applyNumberFormat="1" applyFont="1"/>
    <xf numFmtId="0" fontId="0" fillId="0" borderId="6" xfId="0" applyBorder="1"/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8" fillId="0" borderId="0" xfId="0" applyFont="1"/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/>
    </xf>
    <xf numFmtId="0" fontId="3" fillId="0" borderId="10" xfId="0" quotePrefix="1" applyNumberFormat="1" applyFont="1" applyBorder="1" applyAlignment="1">
      <alignment horizontal="center"/>
    </xf>
    <xf numFmtId="0" fontId="3" fillId="0" borderId="10" xfId="1" applyNumberFormat="1" applyFont="1" applyBorder="1" applyAlignment="1">
      <alignment horizontal="center"/>
    </xf>
    <xf numFmtId="0" fontId="3" fillId="0" borderId="11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3" fillId="0" borderId="9" xfId="1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quotePrefix="1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quotePrefix="1" applyFont="1" applyBorder="1"/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9" fontId="0" fillId="0" borderId="0" xfId="1" applyFont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1" applyNumberFormat="1" applyFont="1" applyBorder="1" applyAlignment="1">
      <alignment horizontal="center"/>
    </xf>
    <xf numFmtId="0" fontId="3" fillId="0" borderId="15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0" fontId="3" fillId="2" borderId="10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5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/>
    <xf numFmtId="0" fontId="0" fillId="0" borderId="5" xfId="0" quotePrefix="1" applyBorder="1"/>
    <xf numFmtId="17" fontId="0" fillId="0" borderId="5" xfId="0" applyNumberFormat="1" applyBorder="1"/>
    <xf numFmtId="0" fontId="0" fillId="0" borderId="5" xfId="0" applyBorder="1"/>
    <xf numFmtId="0" fontId="0" fillId="0" borderId="2" xfId="0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/>
    <xf numFmtId="0" fontId="0" fillId="0" borderId="0" xfId="0" applyAlignment="1">
      <alignment horizontal="center"/>
    </xf>
    <xf numFmtId="12" fontId="3" fillId="0" borderId="5" xfId="0" applyNumberFormat="1" applyFont="1" applyBorder="1" applyAlignment="1">
      <alignment horizontal="center" vertical="center" wrapText="1"/>
    </xf>
    <xf numFmtId="0" fontId="3" fillId="0" borderId="12" xfId="1" applyNumberFormat="1" applyFont="1" applyBorder="1" applyAlignment="1">
      <alignment horizontal="center"/>
    </xf>
    <xf numFmtId="0" fontId="3" fillId="2" borderId="9" xfId="1" applyNumberFormat="1" applyFont="1" applyFill="1" applyBorder="1" applyAlignment="1">
      <alignment horizontal="center"/>
    </xf>
    <xf numFmtId="0" fontId="3" fillId="0" borderId="2" xfId="1" applyNumberFormat="1" applyFon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3" fillId="0" borderId="2" xfId="0" quotePrefix="1" applyNumberFormat="1" applyFont="1" applyBorder="1" applyAlignment="1">
      <alignment horizontal="center"/>
    </xf>
    <xf numFmtId="0" fontId="3" fillId="0" borderId="11" xfId="0" quotePrefix="1" applyNumberFormat="1" applyFont="1" applyBorder="1" applyAlignment="1">
      <alignment horizontal="center"/>
    </xf>
    <xf numFmtId="0" fontId="3" fillId="2" borderId="11" xfId="0" quotePrefix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0" fillId="0" borderId="7" xfId="0" applyBorder="1"/>
    <xf numFmtId="0" fontId="3" fillId="0" borderId="2" xfId="0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center"/>
    </xf>
    <xf numFmtId="9" fontId="0" fillId="0" borderId="0" xfId="1" applyFont="1" applyAlignment="1">
      <alignment horizontal="center"/>
    </xf>
    <xf numFmtId="9" fontId="3" fillId="0" borderId="0" xfId="1" applyFont="1" applyBorder="1" applyAlignment="1">
      <alignment horizontal="center"/>
    </xf>
    <xf numFmtId="10" fontId="7" fillId="0" borderId="0" xfId="1" applyNumberFormat="1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1" applyNumberFormat="1" applyFont="1" applyBorder="1" applyAlignment="1">
      <alignment horizontal="center"/>
    </xf>
    <xf numFmtId="0" fontId="3" fillId="0" borderId="4" xfId="1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6" xfId="0" quotePrefix="1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9" xfId="0" applyFont="1" applyBorder="1" applyAlignment="1"/>
    <xf numFmtId="0" fontId="0" fillId="0" borderId="9" xfId="0" applyBorder="1"/>
    <xf numFmtId="0" fontId="3" fillId="0" borderId="8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/>
    <xf numFmtId="0" fontId="3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/>
    <xf numFmtId="0" fontId="0" fillId="0" borderId="4" xfId="0" applyBorder="1"/>
    <xf numFmtId="0" fontId="3" fillId="0" borderId="0" xfId="0" quotePrefix="1" applyFont="1" applyBorder="1"/>
    <xf numFmtId="0" fontId="3" fillId="0" borderId="12" xfId="0" quotePrefix="1" applyFont="1" applyBorder="1" applyAlignment="1">
      <alignment horizontal="center" vertical="center" wrapText="1"/>
    </xf>
    <xf numFmtId="9" fontId="7" fillId="0" borderId="12" xfId="1" applyNumberFormat="1" applyFont="1" applyBorder="1" applyAlignment="1">
      <alignment horizontal="center"/>
    </xf>
    <xf numFmtId="10" fontId="0" fillId="0" borderId="0" xfId="1" applyNumberFormat="1" applyFont="1" applyBorder="1"/>
    <xf numFmtId="10" fontId="10" fillId="0" borderId="12" xfId="1" applyNumberFormat="1" applyFont="1" applyBorder="1" applyAlignment="1">
      <alignment horizontal="center"/>
    </xf>
    <xf numFmtId="9" fontId="11" fillId="0" borderId="12" xfId="1" applyFont="1" applyBorder="1" applyAlignment="1">
      <alignment horizontal="center"/>
    </xf>
    <xf numFmtId="0" fontId="11" fillId="0" borderId="12" xfId="1" applyNumberFormat="1" applyFont="1" applyBorder="1" applyAlignment="1">
      <alignment horizontal="center"/>
    </xf>
    <xf numFmtId="9" fontId="3" fillId="0" borderId="13" xfId="1" applyFont="1" applyBorder="1" applyAlignment="1">
      <alignment horizontal="center"/>
    </xf>
    <xf numFmtId="9" fontId="3" fillId="0" borderId="4" xfId="1" applyFont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9" fontId="3" fillId="0" borderId="3" xfId="0" applyNumberFormat="1" applyFont="1" applyFill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10" fontId="0" fillId="0" borderId="11" xfId="1" applyNumberFormat="1" applyFon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0" fontId="0" fillId="0" borderId="9" xfId="1" applyNumberFormat="1" applyFont="1" applyBorder="1" applyAlignment="1">
      <alignment horizontal="center"/>
    </xf>
    <xf numFmtId="0" fontId="3" fillId="0" borderId="4" xfId="0" applyFont="1" applyBorder="1" applyAlignment="1"/>
    <xf numFmtId="2" fontId="0" fillId="0" borderId="0" xfId="0" applyNumberForma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12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9" fontId="3" fillId="0" borderId="0" xfId="1" applyFont="1" applyFill="1" applyBorder="1" applyAlignment="1">
      <alignment horizontal="center"/>
    </xf>
    <xf numFmtId="0" fontId="0" fillId="0" borderId="1" xfId="0" applyBorder="1" applyAlignment="1"/>
    <xf numFmtId="9" fontId="3" fillId="0" borderId="1" xfId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9" fontId="3" fillId="0" borderId="8" xfId="1" applyFont="1" applyBorder="1" applyAlignment="1">
      <alignment horizontal="center" vertical="center"/>
    </xf>
    <xf numFmtId="164" fontId="11" fillId="0" borderId="0" xfId="1" applyNumberFormat="1" applyFont="1" applyBorder="1" applyAlignment="1">
      <alignment horizontal="center"/>
    </xf>
    <xf numFmtId="0" fontId="0" fillId="0" borderId="3" xfId="0" applyFill="1" applyBorder="1"/>
    <xf numFmtId="0" fontId="0" fillId="0" borderId="13" xfId="0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5" xfId="0" applyFill="1" applyBorder="1"/>
    <xf numFmtId="10" fontId="0" fillId="0" borderId="14" xfId="0" applyNumberFormat="1" applyBorder="1" applyAlignment="1">
      <alignment horizontal="center"/>
    </xf>
    <xf numFmtId="10" fontId="0" fillId="0" borderId="14" xfId="0" applyNumberFormat="1" applyBorder="1"/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2" xfId="0" quotePrefix="1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" xfId="0" applyFill="1" applyBorder="1"/>
    <xf numFmtId="0" fontId="0" fillId="0" borderId="14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7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0" xfId="0" applyNumberFormat="1" applyBorder="1" applyAlignment="1">
      <alignment horizontal="center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5" xfId="0" applyFont="1" applyBorder="1"/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 applyBorder="1"/>
    <xf numFmtId="2" fontId="0" fillId="0" borderId="0" xfId="0" applyNumberForma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  <xf numFmtId="0" fontId="14" fillId="0" borderId="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12" fontId="14" fillId="0" borderId="20" xfId="0" applyNumberFormat="1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9" fontId="3" fillId="0" borderId="19" xfId="1" applyFont="1" applyBorder="1"/>
    <xf numFmtId="0" fontId="3" fillId="0" borderId="28" xfId="0" applyFont="1" applyBorder="1" applyAlignment="1">
      <alignment horizontal="center" vertical="center" wrapText="1"/>
    </xf>
    <xf numFmtId="9" fontId="3" fillId="0" borderId="21" xfId="1" applyFont="1" applyBorder="1"/>
    <xf numFmtId="0" fontId="3" fillId="0" borderId="29" xfId="0" applyFont="1" applyBorder="1" applyAlignment="1">
      <alignment horizontal="center" vertical="center" wrapText="1"/>
    </xf>
    <xf numFmtId="9" fontId="3" fillId="0" borderId="24" xfId="1" applyFont="1" applyBorder="1"/>
    <xf numFmtId="0" fontId="3" fillId="0" borderId="30" xfId="0" applyFont="1" applyBorder="1" applyAlignment="1">
      <alignment horizontal="center" vertical="center" wrapText="1"/>
    </xf>
    <xf numFmtId="12" fontId="3" fillId="0" borderId="31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9" fontId="3" fillId="0" borderId="35" xfId="1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00FF"/>
      <color rgb="FFFFFF99"/>
      <color rgb="FF66FF33"/>
      <color rgb="FFFFCCCC"/>
      <color rgb="FFFF99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P159"/>
  <sheetViews>
    <sheetView showGridLines="0" tabSelected="1" zoomScaleNormal="100" workbookViewId="0">
      <selection activeCell="G81" sqref="G81"/>
    </sheetView>
  </sheetViews>
  <sheetFormatPr baseColWidth="10" defaultRowHeight="15" outlineLevelCol="1" x14ac:dyDescent="0.25"/>
  <cols>
    <col min="1" max="1" width="4.28515625" customWidth="1"/>
    <col min="2" max="2" width="3" style="356" bestFit="1" customWidth="1"/>
    <col min="3" max="3" width="3" style="356" customWidth="1"/>
    <col min="4" max="4" width="5" style="356" customWidth="1"/>
    <col min="5" max="6" width="4.7109375" customWidth="1"/>
    <col min="7" max="7" width="5" style="193" bestFit="1" customWidth="1"/>
    <col min="8" max="8" width="2.7109375" style="266" customWidth="1"/>
    <col min="9" max="9" width="34" customWidth="1"/>
    <col min="10" max="10" width="7.85546875" style="1" customWidth="1"/>
    <col min="11" max="11" width="4.28515625" style="195" bestFit="1" customWidth="1"/>
    <col min="12" max="12" width="4.85546875" style="234" bestFit="1" customWidth="1"/>
    <col min="13" max="13" width="3.7109375" customWidth="1"/>
    <col min="14" max="14" width="4.42578125" customWidth="1"/>
    <col min="15" max="15" width="4.7109375" customWidth="1"/>
    <col min="16" max="16" width="7.140625" style="1" bestFit="1" customWidth="1"/>
    <col min="17" max="17" width="4.7109375" style="1" customWidth="1"/>
    <col min="18" max="18" width="6.85546875" customWidth="1"/>
    <col min="19" max="19" width="5.140625" bestFit="1" customWidth="1"/>
    <col min="20" max="21" width="1.7109375" style="3" customWidth="1"/>
    <col min="22" max="22" width="7.140625" style="3" bestFit="1" customWidth="1"/>
    <col min="23" max="23" width="1.7109375" style="3" customWidth="1"/>
    <col min="24" max="24" width="4.42578125" style="134" bestFit="1" customWidth="1"/>
    <col min="25" max="25" width="4.140625" style="134" bestFit="1" customWidth="1"/>
    <col min="26" max="26" width="4.140625" style="134" customWidth="1"/>
    <col min="27" max="27" width="4.7109375" style="4" customWidth="1"/>
    <col min="28" max="28" width="9.28515625" style="219" customWidth="1" outlineLevel="1"/>
    <col min="29" max="29" width="9.28515625" style="304" customWidth="1" outlineLevel="1"/>
    <col min="30" max="30" width="9.28515625" style="348" customWidth="1" outlineLevel="1"/>
    <col min="31" max="31" width="7.140625" style="134" customWidth="1" outlineLevel="1"/>
    <col min="32" max="32" width="4.85546875" style="134" customWidth="1" outlineLevel="1"/>
    <col min="33" max="34" width="7.140625" style="134" customWidth="1" outlineLevel="1"/>
    <col min="35" max="35" width="7.28515625" customWidth="1"/>
    <col min="36" max="37" width="6.28515625" style="134" customWidth="1"/>
    <col min="38" max="38" width="3.140625" style="191" customWidth="1"/>
    <col min="39" max="39" width="4.42578125" style="134" customWidth="1"/>
    <col min="40" max="40" width="5" style="134" customWidth="1"/>
    <col min="41" max="41" width="6.28515625" style="134" customWidth="1"/>
    <col min="42" max="42" width="3.7109375" customWidth="1"/>
    <col min="43" max="43" width="4.42578125" style="134" customWidth="1"/>
    <col min="44" max="44" width="7" style="168" customWidth="1"/>
    <col min="45" max="45" width="5.140625" style="168" customWidth="1"/>
    <col min="46" max="46" width="8.28515625" style="173" customWidth="1"/>
    <col min="47" max="47" width="7.140625" bestFit="1" customWidth="1"/>
    <col min="48" max="48" width="7.140625" customWidth="1"/>
    <col min="49" max="49" width="19.140625" bestFit="1" customWidth="1"/>
    <col min="50" max="50" width="4" bestFit="1" customWidth="1"/>
    <col min="51" max="51" width="7.140625" customWidth="1"/>
    <col min="52" max="52" width="9.42578125" bestFit="1" customWidth="1"/>
    <col min="53" max="53" width="12.28515625" customWidth="1"/>
    <col min="54" max="54" width="8.5703125" customWidth="1"/>
    <col min="55" max="55" width="8" bestFit="1" customWidth="1"/>
    <col min="56" max="56" width="10.42578125" bestFit="1" customWidth="1"/>
    <col min="57" max="67" width="7.140625" customWidth="1"/>
    <col min="68" max="68" width="6" customWidth="1"/>
    <col min="69" max="69" width="17.7109375" bestFit="1" customWidth="1"/>
    <col min="70" max="70" width="10.85546875" bestFit="1" customWidth="1"/>
    <col min="71" max="71" width="2.85546875" bestFit="1" customWidth="1"/>
    <col min="72" max="72" width="3" bestFit="1" customWidth="1"/>
    <col min="73" max="73" width="1.85546875" bestFit="1" customWidth="1"/>
    <col min="74" max="74" width="3" bestFit="1" customWidth="1"/>
    <col min="79" max="79" width="4.5703125" bestFit="1" customWidth="1"/>
    <col min="80" max="80" width="6" bestFit="1" customWidth="1"/>
    <col min="81" max="81" width="2.5703125" bestFit="1" customWidth="1"/>
    <col min="82" max="82" width="2.85546875" bestFit="1" customWidth="1"/>
    <col min="83" max="83" width="7.140625" bestFit="1" customWidth="1"/>
    <col min="84" max="84" width="7.140625" customWidth="1"/>
  </cols>
  <sheetData>
    <row r="2" spans="2:67" ht="15" customHeight="1" x14ac:dyDescent="0.25">
      <c r="D2" s="88"/>
      <c r="AB2" s="349" t="s">
        <v>367</v>
      </c>
      <c r="AC2" s="385" t="s">
        <v>415</v>
      </c>
      <c r="AD2" s="386"/>
      <c r="AE2" s="386"/>
      <c r="AF2" s="387"/>
      <c r="AG2" s="308"/>
      <c r="AH2" s="309"/>
      <c r="AQ2" s="138"/>
      <c r="AR2" s="223" t="s">
        <v>312</v>
      </c>
      <c r="AS2" s="177"/>
      <c r="AT2" s="4"/>
      <c r="AU2" s="72" t="s">
        <v>291</v>
      </c>
      <c r="AV2" s="72" t="s">
        <v>293</v>
      </c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</row>
    <row r="3" spans="2:67" ht="15" customHeight="1" x14ac:dyDescent="0.25">
      <c r="D3" s="88"/>
      <c r="G3" s="194" t="s">
        <v>148</v>
      </c>
      <c r="H3" s="53"/>
      <c r="I3" s="35" t="s">
        <v>107</v>
      </c>
      <c r="J3" s="264"/>
      <c r="K3" s="262"/>
      <c r="L3" s="262" t="s">
        <v>376</v>
      </c>
      <c r="M3" s="262" t="s">
        <v>375</v>
      </c>
      <c r="N3" s="264"/>
      <c r="O3" s="379" t="s">
        <v>381</v>
      </c>
      <c r="P3" s="379"/>
      <c r="Q3" s="380"/>
      <c r="R3" s="379" t="s">
        <v>87</v>
      </c>
      <c r="S3" s="380"/>
      <c r="T3" s="42"/>
      <c r="U3" s="42"/>
      <c r="V3" s="222" t="s">
        <v>383</v>
      </c>
      <c r="W3" s="42"/>
      <c r="X3" s="394" t="s">
        <v>291</v>
      </c>
      <c r="Y3" s="395"/>
      <c r="Z3" s="233"/>
      <c r="AA3" s="53"/>
      <c r="AB3" s="156" t="s">
        <v>389</v>
      </c>
      <c r="AC3" s="388"/>
      <c r="AD3" s="389"/>
      <c r="AE3" s="389"/>
      <c r="AF3" s="390"/>
      <c r="AG3" s="347"/>
      <c r="AH3" s="56"/>
      <c r="AJ3" s="174" t="s">
        <v>351</v>
      </c>
      <c r="AK3" s="138" t="s">
        <v>351</v>
      </c>
      <c r="AL3" s="147"/>
      <c r="AM3" s="138" t="s">
        <v>322</v>
      </c>
      <c r="AN3" s="169" t="s">
        <v>321</v>
      </c>
      <c r="AO3" s="138"/>
      <c r="AQ3" s="141"/>
      <c r="AR3" s="224" t="s">
        <v>314</v>
      </c>
      <c r="AS3" s="93"/>
      <c r="AT3" s="4"/>
      <c r="AU3" s="72"/>
      <c r="AV3" s="72" t="s">
        <v>294</v>
      </c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</row>
    <row r="4" spans="2:67" ht="15" customHeight="1" x14ac:dyDescent="0.25">
      <c r="D4" s="88"/>
      <c r="G4" s="28" t="s">
        <v>138</v>
      </c>
      <c r="H4" s="32"/>
      <c r="I4" s="25" t="s">
        <v>0</v>
      </c>
      <c r="J4" s="25" t="s">
        <v>148</v>
      </c>
      <c r="K4" s="26"/>
      <c r="L4" s="26">
        <v>1</v>
      </c>
      <c r="M4" s="27" t="s">
        <v>473</v>
      </c>
      <c r="N4" s="34" t="s">
        <v>382</v>
      </c>
      <c r="O4" s="34" t="s">
        <v>17</v>
      </c>
      <c r="P4" s="210" t="s">
        <v>361</v>
      </c>
      <c r="Q4" s="210" t="s">
        <v>97</v>
      </c>
      <c r="R4" s="153" t="s">
        <v>27</v>
      </c>
      <c r="S4" s="154" t="s">
        <v>104</v>
      </c>
      <c r="T4" s="237"/>
      <c r="U4" s="237"/>
      <c r="V4" s="28" t="s">
        <v>138</v>
      </c>
      <c r="W4" s="237"/>
      <c r="X4" s="155" t="s">
        <v>295</v>
      </c>
      <c r="Y4" s="155" t="s">
        <v>296</v>
      </c>
      <c r="Z4" s="233"/>
      <c r="AA4" s="32"/>
      <c r="AB4" s="28" t="s">
        <v>17</v>
      </c>
      <c r="AC4" s="28" t="s">
        <v>414</v>
      </c>
      <c r="AD4" s="28" t="s">
        <v>464</v>
      </c>
      <c r="AE4" s="28" t="s">
        <v>138</v>
      </c>
      <c r="AF4" s="28"/>
      <c r="AG4" s="28" t="s">
        <v>465</v>
      </c>
      <c r="AH4" s="28" t="s">
        <v>466</v>
      </c>
      <c r="AJ4" s="203">
        <v>477</v>
      </c>
      <c r="AK4" s="204"/>
      <c r="AL4" s="148"/>
      <c r="AM4" s="204" t="s">
        <v>320</v>
      </c>
      <c r="AN4" s="205" t="s">
        <v>320</v>
      </c>
      <c r="AO4" s="204" t="s">
        <v>319</v>
      </c>
      <c r="AQ4" s="140"/>
      <c r="AR4" s="92" t="s">
        <v>313</v>
      </c>
      <c r="AS4" s="93"/>
      <c r="AT4" s="4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</row>
    <row r="5" spans="2:67" ht="15" customHeight="1" x14ac:dyDescent="0.25">
      <c r="B5" s="356">
        <f>IF(J5=1,1,0)</f>
        <v>1</v>
      </c>
      <c r="C5" s="356">
        <f>IF(J5="x",1,B5)</f>
        <v>1</v>
      </c>
      <c r="D5" s="88">
        <v>1</v>
      </c>
      <c r="G5" s="73">
        <v>1</v>
      </c>
      <c r="H5" s="32"/>
      <c r="I5" s="76" t="s">
        <v>44</v>
      </c>
      <c r="J5" s="74">
        <v>1</v>
      </c>
      <c r="K5" s="74"/>
      <c r="L5" s="74"/>
      <c r="M5" s="74"/>
      <c r="N5" s="74"/>
      <c r="O5" s="73">
        <v>8</v>
      </c>
      <c r="P5" s="73">
        <v>34</v>
      </c>
      <c r="Q5" s="73"/>
      <c r="R5" s="73">
        <v>8</v>
      </c>
      <c r="S5" s="77">
        <f t="shared" ref="S5:S15" si="0">IF(R5=0,"",P5/R5)</f>
        <v>4.25</v>
      </c>
      <c r="T5" s="48"/>
      <c r="U5" s="48"/>
      <c r="V5" s="73"/>
      <c r="W5" s="48"/>
      <c r="X5" s="142"/>
      <c r="Y5" s="142"/>
      <c r="Z5" s="142"/>
      <c r="AA5" s="32"/>
      <c r="AB5" s="73">
        <v>8</v>
      </c>
      <c r="AC5" s="73"/>
      <c r="AD5" s="73"/>
      <c r="AE5" s="73">
        <f>V5</f>
        <v>0</v>
      </c>
      <c r="AF5" s="73">
        <f t="shared" ref="AF5:AF26" si="1">AC5+AE5</f>
        <v>0</v>
      </c>
      <c r="AG5" s="73"/>
      <c r="AH5" s="73"/>
      <c r="AJ5" s="176"/>
      <c r="AK5" s="142"/>
      <c r="AL5" s="144"/>
      <c r="AM5" s="142">
        <f t="shared" ref="AM5:AM26" si="2">P5</f>
        <v>34</v>
      </c>
      <c r="AN5" s="170">
        <f t="shared" ref="AN5:AN26" si="3">X5</f>
        <v>0</v>
      </c>
      <c r="AO5" s="142">
        <f t="shared" ref="AO5:AO26" si="4">R5</f>
        <v>8</v>
      </c>
      <c r="AQ5" s="142"/>
      <c r="AR5" s="92">
        <f t="shared" ref="AR5:AR26" si="5">P5</f>
        <v>34</v>
      </c>
      <c r="AS5" s="93">
        <f t="shared" ref="AS5:AS26" si="6">R5</f>
        <v>8</v>
      </c>
      <c r="AT5" s="4"/>
      <c r="AU5" s="72"/>
      <c r="AV5" s="72"/>
      <c r="AW5" s="184"/>
      <c r="AX5" s="184" t="s">
        <v>352</v>
      </c>
      <c r="AY5" s="179" t="s">
        <v>27</v>
      </c>
      <c r="AZ5" s="177" t="s">
        <v>346</v>
      </c>
      <c r="BA5" s="183" t="s">
        <v>347</v>
      </c>
      <c r="BB5" s="183" t="s">
        <v>348</v>
      </c>
      <c r="BC5" s="183" t="s">
        <v>349</v>
      </c>
      <c r="BD5" s="183" t="s">
        <v>350</v>
      </c>
      <c r="BE5" s="180" t="s">
        <v>27</v>
      </c>
      <c r="BF5" s="72"/>
      <c r="BG5" s="72"/>
      <c r="BH5" s="72"/>
      <c r="BI5" s="72"/>
      <c r="BJ5" s="72"/>
      <c r="BK5" s="72"/>
      <c r="BL5" s="72"/>
      <c r="BM5" s="72"/>
      <c r="BN5" s="72"/>
      <c r="BO5" s="72"/>
    </row>
    <row r="6" spans="2:67" ht="15" customHeight="1" x14ac:dyDescent="0.25">
      <c r="B6" s="356">
        <f t="shared" ref="B6:B76" si="7">IF(J6=1,1,0)</f>
        <v>1</v>
      </c>
      <c r="C6" s="356">
        <f t="shared" ref="C6:C74" si="8">IF(J6="x",1,B6)</f>
        <v>1</v>
      </c>
      <c r="D6" s="88">
        <v>1</v>
      </c>
      <c r="G6" s="73">
        <v>1</v>
      </c>
      <c r="H6" s="32"/>
      <c r="I6" s="76" t="s">
        <v>8</v>
      </c>
      <c r="J6" s="74">
        <v>1</v>
      </c>
      <c r="K6" s="74"/>
      <c r="L6" s="74"/>
      <c r="M6" s="74"/>
      <c r="N6" s="74"/>
      <c r="O6" s="73"/>
      <c r="P6" s="73">
        <v>7</v>
      </c>
      <c r="Q6" s="73"/>
      <c r="R6" s="73">
        <v>11</v>
      </c>
      <c r="S6" s="77">
        <f t="shared" si="0"/>
        <v>0.63636363636363635</v>
      </c>
      <c r="T6" s="48"/>
      <c r="U6" s="48"/>
      <c r="V6" s="73">
        <v>3</v>
      </c>
      <c r="W6" s="48"/>
      <c r="X6" s="142"/>
      <c r="Y6" s="142"/>
      <c r="Z6" s="142"/>
      <c r="AA6" s="32"/>
      <c r="AB6" s="73"/>
      <c r="AC6" s="73"/>
      <c r="AD6" s="73"/>
      <c r="AE6" s="73">
        <f t="shared" ref="AE6:AE26" si="9">V6</f>
        <v>3</v>
      </c>
      <c r="AF6" s="73">
        <f t="shared" si="1"/>
        <v>3</v>
      </c>
      <c r="AG6" s="73"/>
      <c r="AH6" s="73"/>
      <c r="AJ6" s="176"/>
      <c r="AK6" s="142"/>
      <c r="AL6" s="144"/>
      <c r="AM6" s="142">
        <f t="shared" si="2"/>
        <v>7</v>
      </c>
      <c r="AN6" s="170">
        <f t="shared" si="3"/>
        <v>0</v>
      </c>
      <c r="AO6" s="142">
        <f t="shared" si="4"/>
        <v>11</v>
      </c>
      <c r="AQ6" s="142"/>
      <c r="AR6" s="92">
        <f t="shared" si="5"/>
        <v>7</v>
      </c>
      <c r="AS6" s="93">
        <f t="shared" si="6"/>
        <v>11</v>
      </c>
      <c r="AT6" s="4"/>
      <c r="AU6" s="72"/>
      <c r="AV6" s="72"/>
      <c r="AW6" s="185" t="s">
        <v>335</v>
      </c>
      <c r="AX6" s="185"/>
      <c r="AY6" s="93">
        <v>106</v>
      </c>
      <c r="AZ6" s="93"/>
      <c r="BA6" s="181"/>
      <c r="BB6" s="181"/>
      <c r="BC6" s="181"/>
      <c r="BD6" s="181"/>
      <c r="BE6" s="189"/>
      <c r="BF6" s="72"/>
      <c r="BG6" s="72"/>
      <c r="BH6" s="72"/>
      <c r="BI6" s="72"/>
      <c r="BJ6" s="72"/>
      <c r="BK6" s="72"/>
      <c r="BL6" s="72"/>
      <c r="BM6" s="72"/>
      <c r="BN6" s="72"/>
      <c r="BO6" s="72"/>
    </row>
    <row r="7" spans="2:67" ht="15" customHeight="1" x14ac:dyDescent="0.25">
      <c r="B7" s="356">
        <f t="shared" si="7"/>
        <v>0</v>
      </c>
      <c r="C7" s="356">
        <f t="shared" si="8"/>
        <v>1</v>
      </c>
      <c r="D7" s="88">
        <v>1</v>
      </c>
      <c r="G7" s="73">
        <v>1</v>
      </c>
      <c r="H7" s="32"/>
      <c r="I7" s="76" t="s">
        <v>11</v>
      </c>
      <c r="J7" s="74" t="s">
        <v>21</v>
      </c>
      <c r="K7" s="74"/>
      <c r="L7" s="74"/>
      <c r="M7" s="74"/>
      <c r="N7" s="74"/>
      <c r="O7" s="73">
        <v>0.5</v>
      </c>
      <c r="P7" s="73">
        <v>6</v>
      </c>
      <c r="Q7" s="73"/>
      <c r="R7" s="73">
        <v>11</v>
      </c>
      <c r="S7" s="77">
        <f t="shared" si="0"/>
        <v>0.54545454545454541</v>
      </c>
      <c r="T7" s="48"/>
      <c r="U7" s="48"/>
      <c r="V7" s="73"/>
      <c r="W7" s="48"/>
      <c r="X7" s="142"/>
      <c r="Y7" s="142"/>
      <c r="Z7" s="142"/>
      <c r="AA7" s="32"/>
      <c r="AB7" s="73">
        <v>0.5</v>
      </c>
      <c r="AC7" s="73"/>
      <c r="AD7" s="73"/>
      <c r="AE7" s="73">
        <f t="shared" si="9"/>
        <v>0</v>
      </c>
      <c r="AF7" s="73">
        <f t="shared" si="1"/>
        <v>0</v>
      </c>
      <c r="AG7" s="73"/>
      <c r="AH7" s="73"/>
      <c r="AJ7" s="176"/>
      <c r="AK7" s="142"/>
      <c r="AL7" s="144"/>
      <c r="AM7" s="142">
        <f t="shared" si="2"/>
        <v>6</v>
      </c>
      <c r="AN7" s="170">
        <f t="shared" si="3"/>
        <v>0</v>
      </c>
      <c r="AO7" s="142">
        <f t="shared" si="4"/>
        <v>11</v>
      </c>
      <c r="AQ7" s="142"/>
      <c r="AR7" s="92">
        <f t="shared" si="5"/>
        <v>6</v>
      </c>
      <c r="AS7" s="93">
        <f t="shared" si="6"/>
        <v>11</v>
      </c>
      <c r="AT7" s="4"/>
      <c r="AU7" s="72"/>
      <c r="AV7" s="72"/>
      <c r="AW7" s="186" t="s">
        <v>336</v>
      </c>
      <c r="AX7" s="186"/>
      <c r="AY7" s="93"/>
      <c r="AZ7" s="93"/>
      <c r="BA7" s="181"/>
      <c r="BB7" s="181"/>
      <c r="BC7" s="181"/>
      <c r="BD7" s="181"/>
      <c r="BE7" s="189"/>
      <c r="BF7" s="72"/>
      <c r="BG7" s="72"/>
      <c r="BH7" s="72"/>
      <c r="BI7" s="72"/>
      <c r="BJ7" s="72"/>
      <c r="BK7" s="72"/>
      <c r="BL7" s="72"/>
      <c r="BM7" s="72"/>
      <c r="BN7" s="72"/>
      <c r="BO7" s="72"/>
    </row>
    <row r="8" spans="2:67" ht="15" customHeight="1" x14ac:dyDescent="0.25">
      <c r="B8" s="356">
        <f t="shared" si="7"/>
        <v>1</v>
      </c>
      <c r="C8" s="356">
        <f t="shared" si="8"/>
        <v>1</v>
      </c>
      <c r="D8" s="88">
        <v>1</v>
      </c>
      <c r="G8" s="73">
        <v>1</v>
      </c>
      <c r="H8" s="32"/>
      <c r="I8" s="76" t="s">
        <v>12</v>
      </c>
      <c r="J8" s="74">
        <v>1</v>
      </c>
      <c r="K8" s="74"/>
      <c r="L8" s="74"/>
      <c r="M8" s="74"/>
      <c r="N8" s="74"/>
      <c r="O8" s="73"/>
      <c r="P8" s="73">
        <v>2</v>
      </c>
      <c r="Q8" s="73"/>
      <c r="R8" s="73">
        <v>2</v>
      </c>
      <c r="S8" s="77">
        <f t="shared" si="0"/>
        <v>1</v>
      </c>
      <c r="T8" s="48"/>
      <c r="U8" s="48"/>
      <c r="V8" s="73">
        <v>1</v>
      </c>
      <c r="W8" s="48"/>
      <c r="X8" s="142"/>
      <c r="Y8" s="142"/>
      <c r="Z8" s="142"/>
      <c r="AA8" s="32"/>
      <c r="AB8" s="73"/>
      <c r="AC8" s="73"/>
      <c r="AD8" s="73"/>
      <c r="AE8" s="73">
        <f t="shared" si="9"/>
        <v>1</v>
      </c>
      <c r="AF8" s="73">
        <f t="shared" si="1"/>
        <v>1</v>
      </c>
      <c r="AG8" s="73"/>
      <c r="AH8" s="73"/>
      <c r="AJ8" s="176"/>
      <c r="AK8" s="142"/>
      <c r="AL8" s="144"/>
      <c r="AM8" s="142">
        <f t="shared" si="2"/>
        <v>2</v>
      </c>
      <c r="AN8" s="170">
        <f t="shared" si="3"/>
        <v>0</v>
      </c>
      <c r="AO8" s="142">
        <f t="shared" si="4"/>
        <v>2</v>
      </c>
      <c r="AQ8" s="142"/>
      <c r="AR8" s="92">
        <f t="shared" si="5"/>
        <v>2</v>
      </c>
      <c r="AS8" s="93">
        <f t="shared" si="6"/>
        <v>2</v>
      </c>
      <c r="AT8" s="4"/>
      <c r="AU8" s="72"/>
      <c r="AV8" s="72"/>
      <c r="AW8" s="187" t="s">
        <v>337</v>
      </c>
      <c r="AX8" s="187"/>
      <c r="AY8" s="93"/>
      <c r="AZ8" s="93"/>
      <c r="BA8" s="181"/>
      <c r="BB8" s="181"/>
      <c r="BC8" s="181"/>
      <c r="BD8" s="181"/>
      <c r="BE8" s="189"/>
      <c r="BF8" s="72"/>
      <c r="BG8" s="72"/>
      <c r="BH8" s="72"/>
      <c r="BI8" s="72"/>
      <c r="BJ8" s="72"/>
      <c r="BK8" s="72"/>
      <c r="BL8" s="72"/>
      <c r="BM8" s="72"/>
      <c r="BN8" s="72"/>
      <c r="BO8" s="72"/>
    </row>
    <row r="9" spans="2:67" ht="15" customHeight="1" x14ac:dyDescent="0.25">
      <c r="B9" s="356">
        <f t="shared" si="7"/>
        <v>1</v>
      </c>
      <c r="C9" s="356">
        <f t="shared" si="8"/>
        <v>1</v>
      </c>
      <c r="D9" s="88">
        <v>1</v>
      </c>
      <c r="G9" s="73"/>
      <c r="H9" s="32"/>
      <c r="I9" s="76" t="s">
        <v>13</v>
      </c>
      <c r="J9" s="74">
        <v>1</v>
      </c>
      <c r="K9" s="74"/>
      <c r="L9" s="74"/>
      <c r="M9" s="74"/>
      <c r="N9" s="74"/>
      <c r="O9" s="73"/>
      <c r="P9" s="73">
        <v>10</v>
      </c>
      <c r="Q9" s="73"/>
      <c r="R9" s="73"/>
      <c r="S9" s="77" t="str">
        <f t="shared" si="0"/>
        <v/>
      </c>
      <c r="T9" s="48"/>
      <c r="U9" s="48"/>
      <c r="V9" s="73"/>
      <c r="W9" s="48"/>
      <c r="X9" s="142"/>
      <c r="Y9" s="142"/>
      <c r="Z9" s="142"/>
      <c r="AA9" s="32"/>
      <c r="AB9" s="73"/>
      <c r="AC9" s="73"/>
      <c r="AD9" s="73"/>
      <c r="AE9" s="73">
        <f t="shared" si="9"/>
        <v>0</v>
      </c>
      <c r="AF9" s="73">
        <f t="shared" si="1"/>
        <v>0</v>
      </c>
      <c r="AG9" s="73"/>
      <c r="AH9" s="73"/>
      <c r="AJ9" s="176"/>
      <c r="AK9" s="142"/>
      <c r="AL9" s="144"/>
      <c r="AM9" s="142">
        <f t="shared" si="2"/>
        <v>10</v>
      </c>
      <c r="AN9" s="170">
        <f t="shared" si="3"/>
        <v>0</v>
      </c>
      <c r="AO9" s="142">
        <f t="shared" si="4"/>
        <v>0</v>
      </c>
      <c r="AQ9" s="142"/>
      <c r="AR9" s="92">
        <f t="shared" si="5"/>
        <v>10</v>
      </c>
      <c r="AS9" s="93">
        <f t="shared" si="6"/>
        <v>0</v>
      </c>
      <c r="AT9" s="4"/>
      <c r="AU9" s="72"/>
      <c r="AV9" s="72"/>
      <c r="AW9" s="187" t="s">
        <v>338</v>
      </c>
      <c r="AX9" s="187"/>
      <c r="AY9" s="93"/>
      <c r="AZ9" s="93"/>
      <c r="BA9" s="181"/>
      <c r="BB9" s="181"/>
      <c r="BC9" s="181"/>
      <c r="BD9" s="181"/>
      <c r="BE9" s="189"/>
      <c r="BF9" s="72"/>
      <c r="BG9" s="72"/>
      <c r="BH9" s="72"/>
      <c r="BI9" s="72"/>
      <c r="BJ9" s="72"/>
      <c r="BK9" s="72"/>
      <c r="BL9" s="72"/>
      <c r="BM9" s="72"/>
      <c r="BN9" s="72"/>
      <c r="BO9" s="72"/>
    </row>
    <row r="10" spans="2:67" ht="15" customHeight="1" x14ac:dyDescent="0.25">
      <c r="B10" s="356">
        <f t="shared" si="7"/>
        <v>0</v>
      </c>
      <c r="C10" s="356">
        <f t="shared" si="8"/>
        <v>1</v>
      </c>
      <c r="D10" s="88">
        <v>1</v>
      </c>
      <c r="G10" s="86">
        <v>1</v>
      </c>
      <c r="H10" s="272"/>
      <c r="I10" s="76" t="s">
        <v>45</v>
      </c>
      <c r="J10" s="78" t="s">
        <v>21</v>
      </c>
      <c r="K10" s="78"/>
      <c r="L10" s="74"/>
      <c r="M10" s="74"/>
      <c r="N10" s="74"/>
      <c r="O10" s="73"/>
      <c r="P10" s="73"/>
      <c r="Q10" s="73"/>
      <c r="R10" s="73"/>
      <c r="S10" s="77" t="str">
        <f t="shared" si="0"/>
        <v/>
      </c>
      <c r="T10" s="48"/>
      <c r="U10" s="48"/>
      <c r="V10" s="73"/>
      <c r="W10" s="48"/>
      <c r="X10" s="142"/>
      <c r="Y10" s="142"/>
      <c r="Z10" s="142"/>
      <c r="AA10" s="32"/>
      <c r="AB10" s="73"/>
      <c r="AC10" s="73"/>
      <c r="AD10" s="73"/>
      <c r="AE10" s="73">
        <f t="shared" si="9"/>
        <v>0</v>
      </c>
      <c r="AF10" s="73">
        <f t="shared" si="1"/>
        <v>0</v>
      </c>
      <c r="AG10" s="73"/>
      <c r="AH10" s="73"/>
      <c r="AJ10" s="176"/>
      <c r="AK10" s="142"/>
      <c r="AL10" s="144"/>
      <c r="AM10" s="142">
        <f t="shared" si="2"/>
        <v>0</v>
      </c>
      <c r="AN10" s="170">
        <f t="shared" si="3"/>
        <v>0</v>
      </c>
      <c r="AO10" s="142">
        <f t="shared" si="4"/>
        <v>0</v>
      </c>
      <c r="AQ10" s="142"/>
      <c r="AR10" s="92">
        <f t="shared" si="5"/>
        <v>0</v>
      </c>
      <c r="AS10" s="93">
        <f t="shared" si="6"/>
        <v>0</v>
      </c>
      <c r="AT10" s="4"/>
      <c r="AU10" s="72"/>
      <c r="AV10" s="72"/>
      <c r="AW10" s="187" t="s">
        <v>339</v>
      </c>
      <c r="AX10" s="187"/>
      <c r="AY10" s="93"/>
      <c r="AZ10" s="93"/>
      <c r="BA10" s="181"/>
      <c r="BB10" s="181"/>
      <c r="BC10" s="181"/>
      <c r="BD10" s="181"/>
      <c r="BE10" s="189"/>
      <c r="BF10" s="72"/>
      <c r="BG10" s="72"/>
      <c r="BH10" s="72"/>
      <c r="BI10" s="72"/>
      <c r="BJ10" s="72"/>
      <c r="BK10" s="72"/>
      <c r="BL10" s="72"/>
      <c r="BM10" s="72"/>
      <c r="BN10" s="72"/>
      <c r="BO10" s="72"/>
    </row>
    <row r="11" spans="2:67" ht="15" customHeight="1" x14ac:dyDescent="0.25">
      <c r="B11" s="356">
        <f t="shared" si="7"/>
        <v>1</v>
      </c>
      <c r="C11" s="356">
        <f t="shared" si="8"/>
        <v>1</v>
      </c>
      <c r="D11" s="88">
        <v>1</v>
      </c>
      <c r="G11" s="73">
        <v>1</v>
      </c>
      <c r="H11" s="32"/>
      <c r="I11" s="79" t="s">
        <v>1</v>
      </c>
      <c r="J11" s="74">
        <v>1</v>
      </c>
      <c r="K11" s="74"/>
      <c r="L11" s="74"/>
      <c r="M11" s="74"/>
      <c r="N11" s="74">
        <v>1</v>
      </c>
      <c r="O11" s="73">
        <v>7</v>
      </c>
      <c r="P11" s="73">
        <v>44</v>
      </c>
      <c r="Q11" s="73"/>
      <c r="R11" s="73">
        <v>14</v>
      </c>
      <c r="S11" s="77">
        <f t="shared" si="0"/>
        <v>3.1428571428571428</v>
      </c>
      <c r="T11" s="48"/>
      <c r="U11" s="48"/>
      <c r="V11" s="73">
        <v>10</v>
      </c>
      <c r="W11" s="48"/>
      <c r="X11" s="142"/>
      <c r="Y11" s="142"/>
      <c r="Z11" s="142"/>
      <c r="AA11" s="32"/>
      <c r="AB11" s="73">
        <v>7</v>
      </c>
      <c r="AC11" s="73"/>
      <c r="AD11" s="73"/>
      <c r="AE11" s="73">
        <f t="shared" si="9"/>
        <v>10</v>
      </c>
      <c r="AF11" s="73">
        <f t="shared" si="1"/>
        <v>10</v>
      </c>
      <c r="AG11" s="73"/>
      <c r="AH11" s="73"/>
      <c r="AJ11" s="176">
        <v>0</v>
      </c>
      <c r="AK11" s="142"/>
      <c r="AL11" s="144"/>
      <c r="AM11" s="142">
        <f t="shared" si="2"/>
        <v>44</v>
      </c>
      <c r="AN11" s="170">
        <f t="shared" si="3"/>
        <v>0</v>
      </c>
      <c r="AO11" s="142">
        <f t="shared" si="4"/>
        <v>14</v>
      </c>
      <c r="AQ11" s="142"/>
      <c r="AR11" s="92">
        <f t="shared" si="5"/>
        <v>44</v>
      </c>
      <c r="AS11" s="93">
        <f t="shared" si="6"/>
        <v>14</v>
      </c>
      <c r="AT11" s="4"/>
      <c r="AU11" s="72"/>
      <c r="AV11" s="72"/>
      <c r="AW11" s="187" t="s">
        <v>340</v>
      </c>
      <c r="AX11" s="187">
        <v>453</v>
      </c>
      <c r="AY11" s="93"/>
      <c r="AZ11" s="93"/>
      <c r="BA11" s="181"/>
      <c r="BB11" s="181"/>
      <c r="BC11" s="181"/>
      <c r="BD11" s="181"/>
      <c r="BE11" s="189"/>
      <c r="BF11" s="72"/>
      <c r="BG11" s="72"/>
      <c r="BH11" s="72"/>
      <c r="BI11" s="72"/>
      <c r="BJ11" s="72"/>
      <c r="BK11" s="72"/>
      <c r="BL11" s="72"/>
      <c r="BM11" s="72"/>
      <c r="BN11" s="72"/>
      <c r="BO11" s="72"/>
    </row>
    <row r="12" spans="2:67" ht="15" customHeight="1" x14ac:dyDescent="0.25">
      <c r="B12" s="356">
        <f t="shared" si="7"/>
        <v>1</v>
      </c>
      <c r="C12" s="356">
        <f t="shared" si="8"/>
        <v>1</v>
      </c>
      <c r="D12" s="88">
        <v>1</v>
      </c>
      <c r="G12" s="73">
        <v>1</v>
      </c>
      <c r="H12" s="32"/>
      <c r="I12" s="79" t="s">
        <v>482</v>
      </c>
      <c r="J12" s="74">
        <v>1</v>
      </c>
      <c r="K12" s="74"/>
      <c r="L12" s="74">
        <v>1</v>
      </c>
      <c r="M12" s="74"/>
      <c r="N12" s="74"/>
      <c r="O12" s="73">
        <v>3</v>
      </c>
      <c r="P12" s="73">
        <v>18</v>
      </c>
      <c r="Q12" s="73"/>
      <c r="R12" s="73">
        <f>P12-X12</f>
        <v>15</v>
      </c>
      <c r="S12" s="77">
        <f t="shared" si="0"/>
        <v>1.2</v>
      </c>
      <c r="T12" s="48"/>
      <c r="U12" s="48"/>
      <c r="V12" s="73"/>
      <c r="W12" s="48"/>
      <c r="X12" s="142">
        <v>3</v>
      </c>
      <c r="Y12" s="142"/>
      <c r="Z12" s="142"/>
      <c r="AA12" s="32"/>
      <c r="AB12" s="73">
        <v>3</v>
      </c>
      <c r="AC12" s="73"/>
      <c r="AD12" s="73"/>
      <c r="AE12" s="73">
        <f t="shared" si="9"/>
        <v>0</v>
      </c>
      <c r="AF12" s="73">
        <f t="shared" si="1"/>
        <v>0</v>
      </c>
      <c r="AG12" s="73"/>
      <c r="AH12" s="73"/>
      <c r="AJ12" s="176">
        <v>10</v>
      </c>
      <c r="AK12" s="142">
        <v>2</v>
      </c>
      <c r="AL12" s="144"/>
      <c r="AM12" s="142">
        <f t="shared" si="2"/>
        <v>18</v>
      </c>
      <c r="AN12" s="170">
        <f t="shared" si="3"/>
        <v>3</v>
      </c>
      <c r="AO12" s="142">
        <f t="shared" si="4"/>
        <v>15</v>
      </c>
      <c r="AQ12" s="142"/>
      <c r="AR12" s="92">
        <f t="shared" si="5"/>
        <v>18</v>
      </c>
      <c r="AS12" s="93">
        <f t="shared" si="6"/>
        <v>15</v>
      </c>
      <c r="AT12" s="4"/>
      <c r="AU12" s="72"/>
      <c r="AV12" s="72"/>
      <c r="AW12" s="187" t="s">
        <v>341</v>
      </c>
      <c r="AX12" s="187">
        <v>544</v>
      </c>
      <c r="AY12" s="93">
        <f>AX12-AX11</f>
        <v>91</v>
      </c>
      <c r="AZ12" s="93">
        <v>9</v>
      </c>
      <c r="BA12" s="181">
        <v>53</v>
      </c>
      <c r="BB12" s="181"/>
      <c r="BC12" s="181">
        <v>10</v>
      </c>
      <c r="BD12" s="181">
        <v>10</v>
      </c>
      <c r="BE12" s="189">
        <f>SUM(AZ12:BD12)</f>
        <v>82</v>
      </c>
      <c r="BF12" s="72"/>
      <c r="BG12" s="72"/>
      <c r="BH12" s="72"/>
      <c r="BI12" s="72"/>
      <c r="BJ12" s="72"/>
      <c r="BK12" s="72"/>
      <c r="BL12" s="72"/>
      <c r="BM12" s="72"/>
      <c r="BN12" s="72"/>
      <c r="BO12" s="72"/>
    </row>
    <row r="13" spans="2:67" ht="15" customHeight="1" x14ac:dyDescent="0.25">
      <c r="B13" s="356">
        <f t="shared" si="7"/>
        <v>1</v>
      </c>
      <c r="C13" s="356">
        <f t="shared" si="8"/>
        <v>1</v>
      </c>
      <c r="D13" s="88">
        <v>1</v>
      </c>
      <c r="G13" s="73">
        <v>1</v>
      </c>
      <c r="H13" s="32"/>
      <c r="I13" s="79" t="s">
        <v>2</v>
      </c>
      <c r="J13" s="74">
        <v>1</v>
      </c>
      <c r="K13" s="74"/>
      <c r="L13" s="74"/>
      <c r="M13" s="74">
        <v>1</v>
      </c>
      <c r="N13" s="74"/>
      <c r="O13" s="73">
        <v>3</v>
      </c>
      <c r="P13" s="73">
        <v>30</v>
      </c>
      <c r="Q13" s="73"/>
      <c r="R13" s="73">
        <v>7</v>
      </c>
      <c r="S13" s="77">
        <f t="shared" si="0"/>
        <v>4.2857142857142856</v>
      </c>
      <c r="T13" s="48"/>
      <c r="U13" s="48"/>
      <c r="V13" s="73"/>
      <c r="W13" s="48"/>
      <c r="X13" s="142"/>
      <c r="Y13" s="142"/>
      <c r="Z13" s="142"/>
      <c r="AA13" s="32"/>
      <c r="AB13" s="73">
        <v>5</v>
      </c>
      <c r="AC13" s="73"/>
      <c r="AD13" s="73"/>
      <c r="AE13" s="73">
        <f t="shared" si="9"/>
        <v>0</v>
      </c>
      <c r="AF13" s="73">
        <f t="shared" si="1"/>
        <v>0</v>
      </c>
      <c r="AG13" s="73"/>
      <c r="AH13" s="73"/>
      <c r="AJ13" s="176">
        <v>3</v>
      </c>
      <c r="AK13" s="142"/>
      <c r="AL13" s="144"/>
      <c r="AM13" s="142">
        <f t="shared" si="2"/>
        <v>30</v>
      </c>
      <c r="AN13" s="170">
        <f t="shared" si="3"/>
        <v>0</v>
      </c>
      <c r="AO13" s="142">
        <f t="shared" si="4"/>
        <v>7</v>
      </c>
      <c r="AQ13" s="142"/>
      <c r="AR13" s="92">
        <f t="shared" si="5"/>
        <v>30</v>
      </c>
      <c r="AS13" s="93">
        <f t="shared" si="6"/>
        <v>7</v>
      </c>
      <c r="AT13" s="4"/>
      <c r="AU13" s="72"/>
      <c r="AV13" s="72"/>
      <c r="AW13" s="187" t="s">
        <v>342</v>
      </c>
      <c r="AX13" s="187"/>
      <c r="AY13" s="93"/>
      <c r="AZ13" s="93"/>
      <c r="BA13" s="181"/>
      <c r="BB13" s="181"/>
      <c r="BC13" s="181"/>
      <c r="BD13" s="181"/>
      <c r="BE13" s="189"/>
      <c r="BF13" s="72"/>
      <c r="BG13" s="72"/>
      <c r="BH13" s="72"/>
      <c r="BI13" s="72"/>
      <c r="BJ13" s="72"/>
      <c r="BK13" s="72"/>
      <c r="BL13" s="72"/>
      <c r="BM13" s="72"/>
      <c r="BN13" s="72"/>
      <c r="BO13" s="72"/>
    </row>
    <row r="14" spans="2:67" ht="15" customHeight="1" x14ac:dyDescent="0.25">
      <c r="B14" s="356">
        <f t="shared" si="7"/>
        <v>0</v>
      </c>
      <c r="C14" s="356">
        <f t="shared" si="8"/>
        <v>1</v>
      </c>
      <c r="D14" s="88">
        <v>1</v>
      </c>
      <c r="G14" s="86">
        <v>1</v>
      </c>
      <c r="H14" s="272"/>
      <c r="I14" s="79" t="s">
        <v>245</v>
      </c>
      <c r="J14" s="78" t="s">
        <v>21</v>
      </c>
      <c r="K14" s="78"/>
      <c r="L14" s="74"/>
      <c r="M14" s="74"/>
      <c r="N14" s="74"/>
      <c r="O14" s="73">
        <v>3</v>
      </c>
      <c r="P14" s="73">
        <v>6</v>
      </c>
      <c r="Q14" s="73">
        <v>-3</v>
      </c>
      <c r="R14" s="73">
        <v>7</v>
      </c>
      <c r="S14" s="77">
        <f t="shared" si="0"/>
        <v>0.8571428571428571</v>
      </c>
      <c r="T14" s="48"/>
      <c r="U14" s="48"/>
      <c r="V14" s="73">
        <v>3</v>
      </c>
      <c r="W14" s="48"/>
      <c r="X14" s="142"/>
      <c r="Y14" s="142"/>
      <c r="Z14" s="142"/>
      <c r="AA14" s="32"/>
      <c r="AB14" s="73">
        <v>1</v>
      </c>
      <c r="AC14" s="73"/>
      <c r="AD14" s="73"/>
      <c r="AE14" s="73">
        <f t="shared" si="9"/>
        <v>3</v>
      </c>
      <c r="AF14" s="73">
        <f t="shared" si="1"/>
        <v>3</v>
      </c>
      <c r="AG14" s="73"/>
      <c r="AH14" s="73"/>
      <c r="AJ14" s="176"/>
      <c r="AK14" s="142"/>
      <c r="AL14" s="144"/>
      <c r="AM14" s="142">
        <f t="shared" si="2"/>
        <v>6</v>
      </c>
      <c r="AN14" s="170">
        <f t="shared" si="3"/>
        <v>0</v>
      </c>
      <c r="AO14" s="142">
        <f t="shared" si="4"/>
        <v>7</v>
      </c>
      <c r="AQ14" s="142"/>
      <c r="AR14" s="92">
        <f t="shared" si="5"/>
        <v>6</v>
      </c>
      <c r="AS14" s="93">
        <f t="shared" si="6"/>
        <v>7</v>
      </c>
      <c r="AT14" s="4"/>
      <c r="AU14" s="72"/>
      <c r="AV14" s="72"/>
      <c r="AW14" s="187" t="s">
        <v>343</v>
      </c>
      <c r="AX14" s="187"/>
      <c r="AY14" s="93"/>
      <c r="AZ14" s="93"/>
      <c r="BA14" s="181"/>
      <c r="BB14" s="181"/>
      <c r="BC14" s="181"/>
      <c r="BD14" s="181"/>
      <c r="BE14" s="189"/>
      <c r="BF14" s="72"/>
      <c r="BG14" s="72"/>
      <c r="BH14" s="72"/>
      <c r="BI14" s="72"/>
      <c r="BJ14" s="72"/>
      <c r="BK14" s="72"/>
      <c r="BL14" s="72"/>
      <c r="BM14" s="72"/>
      <c r="BN14" s="72"/>
      <c r="BO14" s="72"/>
    </row>
    <row r="15" spans="2:67" ht="15" customHeight="1" x14ac:dyDescent="0.25">
      <c r="B15" s="356">
        <f t="shared" si="7"/>
        <v>0</v>
      </c>
      <c r="C15" s="356">
        <f t="shared" si="8"/>
        <v>0</v>
      </c>
      <c r="D15" s="88">
        <v>1</v>
      </c>
      <c r="G15" s="73"/>
      <c r="H15" s="32"/>
      <c r="I15" s="79" t="s">
        <v>36</v>
      </c>
      <c r="J15" s="74">
        <v>0</v>
      </c>
      <c r="K15" s="74"/>
      <c r="L15" s="74"/>
      <c r="M15" s="74"/>
      <c r="N15" s="74"/>
      <c r="O15" s="73"/>
      <c r="P15" s="73"/>
      <c r="Q15" s="73"/>
      <c r="R15" s="73">
        <v>2</v>
      </c>
      <c r="S15" s="77">
        <f t="shared" si="0"/>
        <v>0</v>
      </c>
      <c r="T15" s="48"/>
      <c r="U15" s="48"/>
      <c r="V15" s="73"/>
      <c r="W15" s="48"/>
      <c r="X15" s="142"/>
      <c r="Y15" s="142"/>
      <c r="Z15" s="142"/>
      <c r="AA15" s="32"/>
      <c r="AB15" s="73"/>
      <c r="AC15" s="73"/>
      <c r="AD15" s="73"/>
      <c r="AE15" s="73">
        <f t="shared" si="9"/>
        <v>0</v>
      </c>
      <c r="AF15" s="73">
        <f t="shared" si="1"/>
        <v>0</v>
      </c>
      <c r="AG15" s="73"/>
      <c r="AH15" s="73"/>
      <c r="AJ15" s="176"/>
      <c r="AK15" s="142"/>
      <c r="AL15" s="144"/>
      <c r="AM15" s="142">
        <f t="shared" si="2"/>
        <v>0</v>
      </c>
      <c r="AN15" s="170">
        <f t="shared" si="3"/>
        <v>0</v>
      </c>
      <c r="AO15" s="142">
        <f t="shared" si="4"/>
        <v>2</v>
      </c>
      <c r="AQ15" s="142"/>
      <c r="AR15" s="92">
        <f t="shared" si="5"/>
        <v>0</v>
      </c>
      <c r="AS15" s="93">
        <f t="shared" si="6"/>
        <v>2</v>
      </c>
      <c r="AT15" s="4"/>
      <c r="AU15" s="72"/>
      <c r="AV15" s="72"/>
      <c r="AW15" s="187" t="s">
        <v>344</v>
      </c>
      <c r="AX15" s="187"/>
      <c r="AY15" s="93"/>
      <c r="AZ15" s="93"/>
      <c r="BA15" s="181"/>
      <c r="BB15" s="181"/>
      <c r="BC15" s="181"/>
      <c r="BD15" s="181"/>
      <c r="BE15" s="189"/>
      <c r="BF15" s="72"/>
      <c r="BG15" s="72"/>
      <c r="BH15" s="72"/>
      <c r="BI15" s="72"/>
      <c r="BJ15" s="72"/>
      <c r="BK15" s="72"/>
      <c r="BL15" s="72"/>
      <c r="BM15" s="72"/>
      <c r="BN15" s="72"/>
      <c r="BO15" s="72"/>
    </row>
    <row r="16" spans="2:67" ht="15" customHeight="1" x14ac:dyDescent="0.25">
      <c r="B16" s="356">
        <f t="shared" si="7"/>
        <v>0</v>
      </c>
      <c r="C16" s="356">
        <f t="shared" si="8"/>
        <v>0</v>
      </c>
      <c r="D16" s="88">
        <v>1</v>
      </c>
      <c r="G16" s="73"/>
      <c r="H16" s="32"/>
      <c r="I16" s="79" t="s">
        <v>90</v>
      </c>
      <c r="J16" s="74">
        <v>0</v>
      </c>
      <c r="K16" s="74"/>
      <c r="L16" s="74"/>
      <c r="M16" s="74"/>
      <c r="N16" s="74"/>
      <c r="O16" s="73"/>
      <c r="P16" s="73"/>
      <c r="Q16" s="73"/>
      <c r="R16" s="73"/>
      <c r="S16" s="77"/>
      <c r="T16" s="48"/>
      <c r="U16" s="48"/>
      <c r="V16" s="73"/>
      <c r="W16" s="48"/>
      <c r="X16" s="142"/>
      <c r="Y16" s="142"/>
      <c r="Z16" s="142"/>
      <c r="AA16" s="32"/>
      <c r="AB16" s="73"/>
      <c r="AC16" s="73"/>
      <c r="AD16" s="73"/>
      <c r="AE16" s="73">
        <f t="shared" si="9"/>
        <v>0</v>
      </c>
      <c r="AF16" s="73">
        <f t="shared" si="1"/>
        <v>0</v>
      </c>
      <c r="AG16" s="73"/>
      <c r="AH16" s="73"/>
      <c r="AJ16" s="176"/>
      <c r="AK16" s="142"/>
      <c r="AL16" s="144"/>
      <c r="AM16" s="142">
        <f t="shared" si="2"/>
        <v>0</v>
      </c>
      <c r="AN16" s="170">
        <f t="shared" si="3"/>
        <v>0</v>
      </c>
      <c r="AO16" s="142">
        <f t="shared" si="4"/>
        <v>0</v>
      </c>
      <c r="AQ16" s="142"/>
      <c r="AR16" s="92">
        <f t="shared" si="5"/>
        <v>0</v>
      </c>
      <c r="AS16" s="93">
        <f t="shared" si="6"/>
        <v>0</v>
      </c>
      <c r="AT16" s="4"/>
      <c r="AU16" s="72"/>
      <c r="AV16" s="72"/>
      <c r="AW16" s="188" t="s">
        <v>345</v>
      </c>
      <c r="AX16" s="188"/>
      <c r="AY16" s="178"/>
      <c r="AZ16" s="178"/>
      <c r="BA16" s="182"/>
      <c r="BB16" s="182"/>
      <c r="BC16" s="182"/>
      <c r="BD16" s="182"/>
      <c r="BE16" s="190"/>
      <c r="BF16" s="72"/>
      <c r="BG16" s="72"/>
      <c r="BH16" s="72"/>
      <c r="BI16" s="72"/>
      <c r="BJ16" s="72"/>
      <c r="BK16" s="72"/>
      <c r="BL16" s="72"/>
      <c r="BM16" s="72"/>
      <c r="BN16" s="72"/>
      <c r="BO16" s="72"/>
    </row>
    <row r="17" spans="1:85" ht="15" customHeight="1" x14ac:dyDescent="0.25">
      <c r="B17" s="356">
        <f t="shared" si="7"/>
        <v>1</v>
      </c>
      <c r="C17" s="356">
        <f t="shared" si="8"/>
        <v>1</v>
      </c>
      <c r="D17" s="88">
        <v>1</v>
      </c>
      <c r="G17" s="73"/>
      <c r="H17" s="32"/>
      <c r="I17" s="79" t="s">
        <v>14</v>
      </c>
      <c r="J17" s="74">
        <v>1</v>
      </c>
      <c r="K17" s="74"/>
      <c r="L17" s="74"/>
      <c r="M17" s="74"/>
      <c r="N17" s="74"/>
      <c r="O17" s="73"/>
      <c r="P17" s="73">
        <v>10</v>
      </c>
      <c r="Q17" s="73"/>
      <c r="R17" s="73">
        <v>2</v>
      </c>
      <c r="S17" s="77">
        <f>IF(R17=0,"",P17/R17)</f>
        <v>5</v>
      </c>
      <c r="T17" s="48"/>
      <c r="U17" s="48"/>
      <c r="V17" s="73"/>
      <c r="W17" s="48"/>
      <c r="X17" s="142"/>
      <c r="Y17" s="142"/>
      <c r="Z17" s="142"/>
      <c r="AA17" s="32"/>
      <c r="AB17" s="73"/>
      <c r="AC17" s="73"/>
      <c r="AD17" s="73"/>
      <c r="AE17" s="73">
        <f t="shared" si="9"/>
        <v>0</v>
      </c>
      <c r="AF17" s="73">
        <f t="shared" si="1"/>
        <v>0</v>
      </c>
      <c r="AG17" s="73"/>
      <c r="AH17" s="73"/>
      <c r="AJ17" s="176"/>
      <c r="AK17" s="142"/>
      <c r="AL17" s="144"/>
      <c r="AM17" s="142">
        <f t="shared" si="2"/>
        <v>10</v>
      </c>
      <c r="AN17" s="170">
        <f t="shared" si="3"/>
        <v>0</v>
      </c>
      <c r="AO17" s="142">
        <f t="shared" si="4"/>
        <v>2</v>
      </c>
      <c r="AQ17" s="142"/>
      <c r="AR17" s="92">
        <f t="shared" si="5"/>
        <v>10</v>
      </c>
      <c r="AS17" s="93">
        <f t="shared" si="6"/>
        <v>2</v>
      </c>
      <c r="AT17" s="4"/>
      <c r="AU17" s="72"/>
      <c r="AV17" s="72"/>
      <c r="AW17" s="72"/>
      <c r="AX17" s="72"/>
      <c r="AY17" s="41"/>
      <c r="AZ17" s="41"/>
      <c r="BA17" s="41"/>
      <c r="BB17" s="41"/>
      <c r="BC17" s="41"/>
      <c r="BD17" s="41"/>
      <c r="BE17" s="41"/>
      <c r="BF17" s="72"/>
      <c r="BG17" s="72"/>
      <c r="BH17" s="72"/>
      <c r="BI17" s="72"/>
      <c r="BJ17" s="72"/>
      <c r="BK17" s="72"/>
      <c r="BL17" s="72"/>
      <c r="BM17" s="72"/>
      <c r="BN17" s="72"/>
      <c r="BO17" s="72"/>
    </row>
    <row r="18" spans="1:85" ht="15" customHeight="1" x14ac:dyDescent="0.25">
      <c r="B18" s="356">
        <f t="shared" si="7"/>
        <v>1</v>
      </c>
      <c r="C18" s="356">
        <f t="shared" si="8"/>
        <v>1</v>
      </c>
      <c r="D18" s="88">
        <v>1</v>
      </c>
      <c r="G18" s="73">
        <v>1</v>
      </c>
      <c r="H18" s="32"/>
      <c r="I18" s="79" t="s">
        <v>15</v>
      </c>
      <c r="J18" s="74">
        <v>1</v>
      </c>
      <c r="K18" s="74"/>
      <c r="L18" s="74"/>
      <c r="M18" s="74"/>
      <c r="N18" s="74"/>
      <c r="O18" s="73">
        <v>1</v>
      </c>
      <c r="P18" s="73">
        <v>1</v>
      </c>
      <c r="Q18" s="73"/>
      <c r="R18" s="73"/>
      <c r="S18" s="77" t="str">
        <f>IF(R18=0,"",P18/R18)</f>
        <v/>
      </c>
      <c r="T18" s="48"/>
      <c r="U18" s="48"/>
      <c r="V18" s="73">
        <v>1</v>
      </c>
      <c r="W18" s="48"/>
      <c r="X18" s="142"/>
      <c r="Y18" s="142"/>
      <c r="Z18" s="142"/>
      <c r="AA18" s="32"/>
      <c r="AB18" s="73">
        <v>1</v>
      </c>
      <c r="AC18" s="73"/>
      <c r="AD18" s="73"/>
      <c r="AE18" s="73">
        <f t="shared" si="9"/>
        <v>1</v>
      </c>
      <c r="AF18" s="73">
        <f t="shared" si="1"/>
        <v>1</v>
      </c>
      <c r="AG18" s="73"/>
      <c r="AH18" s="73"/>
      <c r="AJ18" s="176"/>
      <c r="AK18" s="142"/>
      <c r="AL18" s="144"/>
      <c r="AM18" s="142">
        <f t="shared" si="2"/>
        <v>1</v>
      </c>
      <c r="AN18" s="170">
        <f t="shared" si="3"/>
        <v>0</v>
      </c>
      <c r="AO18" s="142">
        <f t="shared" si="4"/>
        <v>0</v>
      </c>
      <c r="AQ18" s="142"/>
      <c r="AR18" s="92">
        <f t="shared" si="5"/>
        <v>1</v>
      </c>
      <c r="AS18" s="93">
        <f t="shared" si="6"/>
        <v>0</v>
      </c>
      <c r="AT18" s="4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</row>
    <row r="19" spans="1:85" ht="15" customHeight="1" x14ac:dyDescent="0.25">
      <c r="B19" s="356">
        <f t="shared" si="7"/>
        <v>1</v>
      </c>
      <c r="C19" s="356">
        <f t="shared" si="8"/>
        <v>1</v>
      </c>
      <c r="D19" s="88">
        <v>1</v>
      </c>
      <c r="G19" s="73">
        <v>1</v>
      </c>
      <c r="H19" s="32"/>
      <c r="I19" s="79" t="s">
        <v>246</v>
      </c>
      <c r="J19" s="74">
        <v>1</v>
      </c>
      <c r="K19" s="74"/>
      <c r="L19" s="74">
        <v>1</v>
      </c>
      <c r="M19" s="74"/>
      <c r="N19" s="74">
        <v>1</v>
      </c>
      <c r="O19" s="73">
        <f>P19-R19</f>
        <v>11</v>
      </c>
      <c r="P19" s="73">
        <v>15</v>
      </c>
      <c r="Q19" s="73"/>
      <c r="R19" s="73">
        <v>4</v>
      </c>
      <c r="S19" s="77">
        <f>IF(R19=0,"",P19/R19)</f>
        <v>3.75</v>
      </c>
      <c r="T19" s="48"/>
      <c r="U19" s="48"/>
      <c r="V19" s="73">
        <f>2</f>
        <v>2</v>
      </c>
      <c r="W19" s="48"/>
      <c r="X19" s="142"/>
      <c r="Y19" s="142"/>
      <c r="Z19" s="142"/>
      <c r="AA19" s="32"/>
      <c r="AB19" s="73">
        <v>11</v>
      </c>
      <c r="AC19" s="73"/>
      <c r="AD19" s="73"/>
      <c r="AE19" s="73">
        <f t="shared" si="9"/>
        <v>2</v>
      </c>
      <c r="AF19" s="73">
        <f t="shared" si="1"/>
        <v>2</v>
      </c>
      <c r="AG19" s="73"/>
      <c r="AH19" s="73"/>
      <c r="AJ19" s="176"/>
      <c r="AK19" s="142"/>
      <c r="AL19" s="144"/>
      <c r="AM19" s="142">
        <f t="shared" si="2"/>
        <v>15</v>
      </c>
      <c r="AN19" s="170">
        <f t="shared" si="3"/>
        <v>0</v>
      </c>
      <c r="AO19" s="142">
        <f t="shared" si="4"/>
        <v>4</v>
      </c>
      <c r="AQ19" s="142"/>
      <c r="AR19" s="92">
        <f t="shared" si="5"/>
        <v>15</v>
      </c>
      <c r="AS19" s="93">
        <f t="shared" si="6"/>
        <v>4</v>
      </c>
      <c r="AT19" s="4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</row>
    <row r="20" spans="1:85" ht="15" customHeight="1" x14ac:dyDescent="0.25">
      <c r="B20" s="356">
        <f t="shared" si="7"/>
        <v>0</v>
      </c>
      <c r="C20" s="356">
        <f t="shared" si="8"/>
        <v>1</v>
      </c>
      <c r="D20" s="88">
        <v>1</v>
      </c>
      <c r="G20" s="73"/>
      <c r="H20" s="32"/>
      <c r="I20" s="79" t="s">
        <v>130</v>
      </c>
      <c r="J20" s="74" t="s">
        <v>21</v>
      </c>
      <c r="K20" s="74"/>
      <c r="L20" s="74"/>
      <c r="M20" s="74"/>
      <c r="N20" s="74"/>
      <c r="O20" s="73">
        <v>2</v>
      </c>
      <c r="P20" s="73">
        <v>2</v>
      </c>
      <c r="Q20" s="73"/>
      <c r="R20" s="73">
        <v>1</v>
      </c>
      <c r="S20" s="77">
        <f>IF(R20=0,"",P20/R20)</f>
        <v>2</v>
      </c>
      <c r="T20" s="48"/>
      <c r="U20" s="48"/>
      <c r="V20" s="73"/>
      <c r="W20" s="48"/>
      <c r="X20" s="142"/>
      <c r="Y20" s="142"/>
      <c r="Z20" s="142"/>
      <c r="AA20" s="32"/>
      <c r="AB20" s="73">
        <v>2</v>
      </c>
      <c r="AC20" s="73"/>
      <c r="AD20" s="73"/>
      <c r="AE20" s="73">
        <f t="shared" si="9"/>
        <v>0</v>
      </c>
      <c r="AF20" s="73">
        <f t="shared" si="1"/>
        <v>0</v>
      </c>
      <c r="AG20" s="73"/>
      <c r="AH20" s="73"/>
      <c r="AJ20" s="176"/>
      <c r="AK20" s="142"/>
      <c r="AL20" s="144"/>
      <c r="AM20" s="142">
        <f t="shared" si="2"/>
        <v>2</v>
      </c>
      <c r="AN20" s="170">
        <f t="shared" si="3"/>
        <v>0</v>
      </c>
      <c r="AO20" s="142">
        <f t="shared" si="4"/>
        <v>1</v>
      </c>
      <c r="AQ20" s="142"/>
      <c r="AR20" s="92">
        <f t="shared" si="5"/>
        <v>2</v>
      </c>
      <c r="AS20" s="93">
        <f t="shared" si="6"/>
        <v>1</v>
      </c>
      <c r="AT20" s="4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</row>
    <row r="21" spans="1:85" ht="15" customHeight="1" x14ac:dyDescent="0.25">
      <c r="B21" s="356">
        <f t="shared" si="7"/>
        <v>0</v>
      </c>
      <c r="C21" s="356">
        <f t="shared" si="8"/>
        <v>0</v>
      </c>
      <c r="D21" s="88">
        <v>1</v>
      </c>
      <c r="G21" s="73"/>
      <c r="H21" s="32"/>
      <c r="I21" s="79" t="s">
        <v>109</v>
      </c>
      <c r="J21" s="74">
        <v>0</v>
      </c>
      <c r="K21" s="74"/>
      <c r="L21" s="74"/>
      <c r="M21" s="74"/>
      <c r="N21" s="74"/>
      <c r="O21" s="73"/>
      <c r="P21" s="73"/>
      <c r="Q21" s="73"/>
      <c r="R21" s="73"/>
      <c r="S21" s="77"/>
      <c r="T21" s="48"/>
      <c r="U21" s="48"/>
      <c r="V21" s="73"/>
      <c r="W21" s="48"/>
      <c r="X21" s="142"/>
      <c r="Y21" s="142"/>
      <c r="Z21" s="142"/>
      <c r="AA21" s="32"/>
      <c r="AB21" s="73"/>
      <c r="AC21" s="73"/>
      <c r="AD21" s="73"/>
      <c r="AE21" s="73">
        <f t="shared" si="9"/>
        <v>0</v>
      </c>
      <c r="AF21" s="73">
        <f t="shared" si="1"/>
        <v>0</v>
      </c>
      <c r="AG21" s="73"/>
      <c r="AH21" s="73"/>
      <c r="AJ21" s="176"/>
      <c r="AK21" s="142"/>
      <c r="AL21" s="144"/>
      <c r="AM21" s="142">
        <f t="shared" si="2"/>
        <v>0</v>
      </c>
      <c r="AN21" s="170">
        <f t="shared" si="3"/>
        <v>0</v>
      </c>
      <c r="AO21" s="142">
        <f t="shared" si="4"/>
        <v>0</v>
      </c>
      <c r="AQ21" s="142"/>
      <c r="AR21" s="92">
        <f t="shared" si="5"/>
        <v>0</v>
      </c>
      <c r="AS21" s="93">
        <f t="shared" si="6"/>
        <v>0</v>
      </c>
      <c r="AT21" s="4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</row>
    <row r="22" spans="1:85" ht="15" customHeight="1" x14ac:dyDescent="0.25">
      <c r="B22" s="356">
        <f t="shared" si="7"/>
        <v>1</v>
      </c>
      <c r="C22" s="356">
        <f t="shared" si="8"/>
        <v>1</v>
      </c>
      <c r="D22" s="88">
        <v>1</v>
      </c>
      <c r="G22" s="73">
        <v>1</v>
      </c>
      <c r="H22" s="32"/>
      <c r="I22" s="79" t="s">
        <v>20</v>
      </c>
      <c r="J22" s="74">
        <v>1</v>
      </c>
      <c r="K22" s="74"/>
      <c r="L22" s="74"/>
      <c r="M22" s="74"/>
      <c r="N22" s="74"/>
      <c r="O22" s="73"/>
      <c r="P22" s="73">
        <v>35</v>
      </c>
      <c r="Q22" s="73">
        <v>-5</v>
      </c>
      <c r="R22" s="73">
        <v>40</v>
      </c>
      <c r="S22" s="77">
        <f t="shared" ref="S22:S28" si="10">IF(R22=0,"",P22/R22)</f>
        <v>0.875</v>
      </c>
      <c r="T22" s="48"/>
      <c r="U22" s="48"/>
      <c r="V22" s="73"/>
      <c r="W22" s="48"/>
      <c r="X22" s="142"/>
      <c r="Y22" s="142"/>
      <c r="Z22" s="142"/>
      <c r="AA22" s="32"/>
      <c r="AB22" s="73"/>
      <c r="AC22" s="73"/>
      <c r="AD22" s="73"/>
      <c r="AE22" s="73">
        <f t="shared" si="9"/>
        <v>0</v>
      </c>
      <c r="AF22" s="73">
        <f t="shared" si="1"/>
        <v>0</v>
      </c>
      <c r="AG22" s="73"/>
      <c r="AH22" s="73"/>
      <c r="AJ22" s="176"/>
      <c r="AK22" s="142"/>
      <c r="AL22" s="144"/>
      <c r="AM22" s="142">
        <f t="shared" si="2"/>
        <v>35</v>
      </c>
      <c r="AN22" s="170">
        <f t="shared" si="3"/>
        <v>0</v>
      </c>
      <c r="AO22" s="142">
        <f t="shared" si="4"/>
        <v>40</v>
      </c>
      <c r="AQ22" s="142"/>
      <c r="AR22" s="92">
        <f t="shared" si="5"/>
        <v>35</v>
      </c>
      <c r="AS22" s="93">
        <f t="shared" si="6"/>
        <v>40</v>
      </c>
      <c r="AT22" s="4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</row>
    <row r="23" spans="1:85" ht="15" customHeight="1" x14ac:dyDescent="0.25">
      <c r="B23" s="356">
        <f t="shared" si="7"/>
        <v>0</v>
      </c>
      <c r="C23" s="356">
        <f t="shared" si="8"/>
        <v>1</v>
      </c>
      <c r="D23" s="88">
        <v>1</v>
      </c>
      <c r="G23" s="86"/>
      <c r="H23" s="272"/>
      <c r="I23" s="79" t="s">
        <v>16</v>
      </c>
      <c r="J23" s="78" t="s">
        <v>21</v>
      </c>
      <c r="K23" s="78"/>
      <c r="L23" s="74"/>
      <c r="M23" s="74"/>
      <c r="N23" s="74"/>
      <c r="O23" s="73"/>
      <c r="P23" s="73">
        <v>11</v>
      </c>
      <c r="Q23" s="73"/>
      <c r="R23" s="73"/>
      <c r="S23" s="77" t="str">
        <f t="shared" si="10"/>
        <v/>
      </c>
      <c r="T23" s="48"/>
      <c r="U23" s="48"/>
      <c r="V23" s="73"/>
      <c r="W23" s="48"/>
      <c r="X23" s="142"/>
      <c r="Y23" s="142"/>
      <c r="Z23" s="142"/>
      <c r="AA23" s="32"/>
      <c r="AB23" s="73"/>
      <c r="AC23" s="73"/>
      <c r="AD23" s="73"/>
      <c r="AE23" s="73">
        <f t="shared" si="9"/>
        <v>0</v>
      </c>
      <c r="AF23" s="73">
        <f t="shared" si="1"/>
        <v>0</v>
      </c>
      <c r="AG23" s="73"/>
      <c r="AH23" s="73"/>
      <c r="AJ23" s="176"/>
      <c r="AK23" s="142"/>
      <c r="AL23" s="144"/>
      <c r="AM23" s="142">
        <f t="shared" si="2"/>
        <v>11</v>
      </c>
      <c r="AN23" s="170">
        <f t="shared" si="3"/>
        <v>0</v>
      </c>
      <c r="AO23" s="142">
        <f t="shared" si="4"/>
        <v>0</v>
      </c>
      <c r="AQ23" s="142"/>
      <c r="AR23" s="92">
        <f t="shared" si="5"/>
        <v>11</v>
      </c>
      <c r="AS23" s="93">
        <f t="shared" si="6"/>
        <v>0</v>
      </c>
      <c r="AT23" s="4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</row>
    <row r="24" spans="1:85" ht="15" customHeight="1" x14ac:dyDescent="0.25">
      <c r="B24" s="356">
        <f t="shared" si="7"/>
        <v>1</v>
      </c>
      <c r="C24" s="356">
        <f t="shared" si="8"/>
        <v>1</v>
      </c>
      <c r="D24" s="88">
        <v>1</v>
      </c>
      <c r="G24" s="73"/>
      <c r="H24" s="32"/>
      <c r="I24" s="79" t="s">
        <v>105</v>
      </c>
      <c r="J24" s="74">
        <v>1</v>
      </c>
      <c r="K24" s="74"/>
      <c r="L24" s="74"/>
      <c r="M24" s="74"/>
      <c r="N24" s="74"/>
      <c r="O24" s="73"/>
      <c r="P24" s="73">
        <v>6</v>
      </c>
      <c r="Q24" s="73"/>
      <c r="R24" s="73">
        <f>3+3</f>
        <v>6</v>
      </c>
      <c r="S24" s="77">
        <f t="shared" si="10"/>
        <v>1</v>
      </c>
      <c r="T24" s="48"/>
      <c r="U24" s="48"/>
      <c r="V24" s="73"/>
      <c r="W24" s="48"/>
      <c r="X24" s="142"/>
      <c r="Y24" s="142">
        <v>6</v>
      </c>
      <c r="Z24" s="142"/>
      <c r="AA24" s="32"/>
      <c r="AB24" s="73"/>
      <c r="AC24" s="73"/>
      <c r="AD24" s="73"/>
      <c r="AE24" s="73">
        <f t="shared" si="9"/>
        <v>0</v>
      </c>
      <c r="AF24" s="73">
        <f t="shared" si="1"/>
        <v>0</v>
      </c>
      <c r="AG24" s="73"/>
      <c r="AH24" s="73"/>
      <c r="AJ24" s="176"/>
      <c r="AK24" s="142"/>
      <c r="AL24" s="144"/>
      <c r="AM24" s="142">
        <f t="shared" si="2"/>
        <v>6</v>
      </c>
      <c r="AN24" s="170">
        <f t="shared" si="3"/>
        <v>0</v>
      </c>
      <c r="AO24" s="142">
        <f t="shared" si="4"/>
        <v>6</v>
      </c>
      <c r="AQ24" s="142"/>
      <c r="AR24" s="92">
        <f t="shared" si="5"/>
        <v>6</v>
      </c>
      <c r="AS24" s="93">
        <f t="shared" si="6"/>
        <v>6</v>
      </c>
      <c r="AT24" s="4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</row>
    <row r="25" spans="1:85" ht="15" customHeight="1" x14ac:dyDescent="0.25">
      <c r="B25" s="356">
        <v>0</v>
      </c>
      <c r="C25" s="356">
        <f t="shared" si="8"/>
        <v>0</v>
      </c>
      <c r="D25" s="88">
        <v>1</v>
      </c>
      <c r="G25" s="73"/>
      <c r="H25" s="32"/>
      <c r="I25" s="79" t="s">
        <v>475</v>
      </c>
      <c r="J25" s="74">
        <v>1</v>
      </c>
      <c r="K25" s="74"/>
      <c r="L25" s="74"/>
      <c r="M25" s="74"/>
      <c r="N25" s="74"/>
      <c r="O25" s="73">
        <v>2</v>
      </c>
      <c r="P25" s="73">
        <v>10</v>
      </c>
      <c r="Q25" s="73"/>
      <c r="R25" s="73">
        <v>20</v>
      </c>
      <c r="S25" s="77">
        <f t="shared" si="10"/>
        <v>0.5</v>
      </c>
      <c r="T25" s="48"/>
      <c r="U25" s="48"/>
      <c r="V25" s="73"/>
      <c r="W25" s="48"/>
      <c r="X25" s="142"/>
      <c r="Y25" s="142">
        <v>10</v>
      </c>
      <c r="Z25" s="142"/>
      <c r="AA25" s="32"/>
      <c r="AB25" s="73">
        <v>2</v>
      </c>
      <c r="AC25" s="73"/>
      <c r="AD25" s="73"/>
      <c r="AE25" s="73">
        <f t="shared" si="9"/>
        <v>0</v>
      </c>
      <c r="AF25" s="73">
        <f t="shared" si="1"/>
        <v>0</v>
      </c>
      <c r="AG25" s="73"/>
      <c r="AH25" s="73"/>
      <c r="AJ25" s="176"/>
      <c r="AK25" s="142"/>
      <c r="AL25" s="144"/>
      <c r="AM25" s="142">
        <f t="shared" si="2"/>
        <v>10</v>
      </c>
      <c r="AN25" s="170">
        <f t="shared" si="3"/>
        <v>0</v>
      </c>
      <c r="AO25" s="142">
        <f t="shared" si="4"/>
        <v>20</v>
      </c>
      <c r="AQ25" s="142"/>
      <c r="AR25" s="92">
        <f t="shared" si="5"/>
        <v>10</v>
      </c>
      <c r="AS25" s="93">
        <f t="shared" si="6"/>
        <v>20</v>
      </c>
      <c r="AT25" s="4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</row>
    <row r="26" spans="1:85" ht="15" customHeight="1" x14ac:dyDescent="0.25">
      <c r="B26" s="356">
        <f t="shared" si="7"/>
        <v>0</v>
      </c>
      <c r="C26" s="356">
        <f t="shared" si="8"/>
        <v>0</v>
      </c>
      <c r="D26" s="88">
        <v>1</v>
      </c>
      <c r="G26" s="73"/>
      <c r="H26" s="32"/>
      <c r="I26" s="79" t="s">
        <v>23</v>
      </c>
      <c r="J26" s="74"/>
      <c r="K26" s="74"/>
      <c r="L26" s="74"/>
      <c r="M26" s="74"/>
      <c r="N26" s="74"/>
      <c r="O26" s="73"/>
      <c r="P26" s="73">
        <v>6</v>
      </c>
      <c r="Q26" s="73"/>
      <c r="R26" s="73">
        <v>13</v>
      </c>
      <c r="S26" s="77">
        <f t="shared" si="10"/>
        <v>0.46153846153846156</v>
      </c>
      <c r="T26" s="48"/>
      <c r="U26" s="48"/>
      <c r="V26" s="73"/>
      <c r="W26" s="48"/>
      <c r="X26" s="142"/>
      <c r="Y26" s="142"/>
      <c r="Z26" s="142"/>
      <c r="AA26" s="32"/>
      <c r="AB26" s="73"/>
      <c r="AC26" s="73"/>
      <c r="AD26" s="73"/>
      <c r="AE26" s="73">
        <f t="shared" si="9"/>
        <v>0</v>
      </c>
      <c r="AF26" s="73">
        <f t="shared" si="1"/>
        <v>0</v>
      </c>
      <c r="AG26" s="73"/>
      <c r="AH26" s="73"/>
      <c r="AJ26" s="176"/>
      <c r="AK26" s="142"/>
      <c r="AL26" s="144"/>
      <c r="AM26" s="142">
        <f t="shared" si="2"/>
        <v>6</v>
      </c>
      <c r="AN26" s="170">
        <f t="shared" si="3"/>
        <v>0</v>
      </c>
      <c r="AO26" s="142">
        <f t="shared" si="4"/>
        <v>13</v>
      </c>
      <c r="AQ26" s="142"/>
      <c r="AR26" s="92">
        <f t="shared" si="5"/>
        <v>6</v>
      </c>
      <c r="AS26" s="93">
        <f t="shared" si="6"/>
        <v>13</v>
      </c>
      <c r="AT26" s="4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</row>
    <row r="27" spans="1:85" ht="15" customHeight="1" x14ac:dyDescent="0.25">
      <c r="B27" s="356">
        <f t="shared" ref="B27" si="11">IF(J27=1,1,0)</f>
        <v>0</v>
      </c>
      <c r="C27" s="356">
        <f t="shared" ref="C27" si="12">IF(J27="x",1,B27)</f>
        <v>1</v>
      </c>
      <c r="D27" s="88">
        <v>1</v>
      </c>
      <c r="G27" s="73"/>
      <c r="H27" s="32"/>
      <c r="I27" s="87" t="s">
        <v>16</v>
      </c>
      <c r="J27" s="153" t="s">
        <v>21</v>
      </c>
      <c r="K27" s="74"/>
      <c r="L27" s="74"/>
      <c r="M27" s="74"/>
      <c r="N27" s="74"/>
      <c r="O27" s="73"/>
      <c r="P27" s="73"/>
      <c r="Q27" s="73"/>
      <c r="R27" s="73"/>
      <c r="S27" s="77"/>
      <c r="T27" s="48"/>
      <c r="U27" s="48"/>
      <c r="V27" s="73"/>
      <c r="W27" s="48"/>
      <c r="X27" s="142"/>
      <c r="Y27" s="142"/>
      <c r="Z27" s="166"/>
      <c r="AA27" s="32"/>
      <c r="AB27" s="73"/>
      <c r="AC27" s="73"/>
      <c r="AD27" s="73"/>
      <c r="AE27" s="73"/>
      <c r="AF27" s="73"/>
      <c r="AG27" s="73"/>
      <c r="AH27" s="73"/>
      <c r="AJ27" s="176"/>
      <c r="AK27" s="142"/>
      <c r="AL27" s="144"/>
      <c r="AM27" s="142"/>
      <c r="AN27" s="170"/>
      <c r="AO27" s="142"/>
      <c r="AQ27" s="142"/>
      <c r="AR27" s="92"/>
      <c r="AS27" s="93"/>
      <c r="AT27" s="351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</row>
    <row r="28" spans="1:85" x14ac:dyDescent="0.25">
      <c r="A28" s="211"/>
      <c r="B28" s="355">
        <f t="shared" ref="B28:C28" si="13">SUM(B5:B27)</f>
        <v>12</v>
      </c>
      <c r="C28" s="355">
        <f t="shared" si="13"/>
        <v>18</v>
      </c>
      <c r="D28" s="355">
        <f>SUM(D5:D27)</f>
        <v>23</v>
      </c>
      <c r="G28" s="28">
        <f>SUM(G5:G26)</f>
        <v>12</v>
      </c>
      <c r="H28" s="32"/>
      <c r="I28" s="25" t="str">
        <f>CG28</f>
        <v>Nombre de dossiers = 12 / 23 = 52,17%</v>
      </c>
      <c r="J28" s="80">
        <f>B28</f>
        <v>12</v>
      </c>
      <c r="K28" s="80"/>
      <c r="L28" s="26">
        <f>SUM(L5:L26)</f>
        <v>2</v>
      </c>
      <c r="M28" s="26">
        <f t="shared" ref="M28" si="14">SUM(M5:M26)</f>
        <v>1</v>
      </c>
      <c r="N28" s="26">
        <f>SUM(N5:N27)</f>
        <v>2</v>
      </c>
      <c r="O28" s="26">
        <f>SUM(O5:O27)</f>
        <v>40.5</v>
      </c>
      <c r="P28" s="27">
        <f>AM29</f>
        <v>250</v>
      </c>
      <c r="Q28" s="27">
        <f>SUM(Q5:Q26)</f>
        <v>-8</v>
      </c>
      <c r="R28" s="263">
        <f>AO28-X28</f>
        <v>160</v>
      </c>
      <c r="S28" s="81">
        <f t="shared" si="10"/>
        <v>1.5625</v>
      </c>
      <c r="T28" s="48"/>
      <c r="U28" s="48"/>
      <c r="V28" s="28">
        <f t="shared" ref="V28" si="15">SUM(V5:V26)</f>
        <v>20</v>
      </c>
      <c r="W28" s="48"/>
      <c r="X28" s="152">
        <f>SUM(X5:X26)</f>
        <v>3</v>
      </c>
      <c r="Y28" s="152">
        <f>SUM(Y5:Y26)</f>
        <v>16</v>
      </c>
      <c r="Z28" s="230"/>
      <c r="AA28" s="32"/>
      <c r="AB28" s="28">
        <f t="shared" ref="AB28:AE28" si="16">SUM(AB5:AB26)</f>
        <v>40.5</v>
      </c>
      <c r="AC28" s="28">
        <f t="shared" si="16"/>
        <v>0</v>
      </c>
      <c r="AD28" s="28"/>
      <c r="AE28" s="28">
        <f t="shared" si="16"/>
        <v>20</v>
      </c>
      <c r="AF28" s="28">
        <f>SUM(AF5:AF26)</f>
        <v>20</v>
      </c>
      <c r="AG28" s="28"/>
      <c r="AH28" s="28"/>
      <c r="AJ28" s="152">
        <f>SUM(AJ5:AJ26)</f>
        <v>13</v>
      </c>
      <c r="AK28" s="152">
        <f>SUM(AK5:AK26)</f>
        <v>2</v>
      </c>
      <c r="AL28" s="144"/>
      <c r="AM28" s="152">
        <f>SUM(AM5:AM26)</f>
        <v>253</v>
      </c>
      <c r="AN28" s="171">
        <f>SUM(AN5:AN26)</f>
        <v>3</v>
      </c>
      <c r="AO28" s="152">
        <f>SUM(AO5:AO26)</f>
        <v>163</v>
      </c>
      <c r="AQ28" s="152"/>
      <c r="AR28" s="92"/>
      <c r="AS28" s="93"/>
      <c r="AT28" s="4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Q28" s="5" t="s">
        <v>364</v>
      </c>
      <c r="BR28" s="5" t="s">
        <v>151</v>
      </c>
      <c r="BS28" s="5" t="s">
        <v>147</v>
      </c>
      <c r="BT28" s="63">
        <f>B28</f>
        <v>12</v>
      </c>
      <c r="BU28" s="64" t="s">
        <v>95</v>
      </c>
      <c r="BV28">
        <f>D28</f>
        <v>23</v>
      </c>
      <c r="BW28" s="65">
        <f>BT28/BV28</f>
        <v>0.52173913043478259</v>
      </c>
      <c r="BX28">
        <f>BW28*100</f>
        <v>52.173913043478258</v>
      </c>
      <c r="BY28">
        <f>INT(BX28)</f>
        <v>52</v>
      </c>
      <c r="BZ28">
        <f>BX28-BY28</f>
        <v>0.17391304347825809</v>
      </c>
      <c r="CA28" t="str">
        <f>MID(BZ28,1,4)</f>
        <v>0,17</v>
      </c>
      <c r="CB28">
        <f>BY28+CA28</f>
        <v>52.17</v>
      </c>
      <c r="CC28" t="s">
        <v>149</v>
      </c>
      <c r="CD28" t="str">
        <f>BS28</f>
        <v xml:space="preserve"> = </v>
      </c>
      <c r="CE28" t="str">
        <f>CB28&amp;CC28</f>
        <v>52,17%</v>
      </c>
      <c r="CG28" t="str">
        <f>BQ28&amp;BS28&amp;BT28&amp;BU28&amp;BV28&amp;CD28&amp;CE28</f>
        <v>Nombre de dossiers = 12 / 23 = 52,17%</v>
      </c>
    </row>
    <row r="29" spans="1:85" x14ac:dyDescent="0.25">
      <c r="C29" s="356">
        <f t="shared" si="8"/>
        <v>0</v>
      </c>
      <c r="D29" s="88"/>
      <c r="G29" s="32"/>
      <c r="H29" s="32"/>
      <c r="I29" s="396" t="s">
        <v>360</v>
      </c>
      <c r="J29" s="396"/>
      <c r="K29" s="32"/>
      <c r="L29" s="32"/>
      <c r="M29" s="32"/>
      <c r="N29" s="32"/>
      <c r="O29" s="32"/>
      <c r="P29" s="32">
        <f>SUM(P5:P26)</f>
        <v>253</v>
      </c>
      <c r="Q29" s="32"/>
      <c r="R29" s="32">
        <f>AO28</f>
        <v>163</v>
      </c>
      <c r="S29" s="48">
        <f>P29/R29</f>
        <v>1.5521472392638036</v>
      </c>
      <c r="T29" s="48"/>
      <c r="U29" s="48"/>
      <c r="V29" s="32"/>
      <c r="W29" s="48"/>
      <c r="X29" s="144"/>
      <c r="Y29" s="144">
        <f>X28+Y28</f>
        <v>19</v>
      </c>
      <c r="Z29" s="144"/>
      <c r="AA29" s="32"/>
      <c r="AB29" s="34"/>
      <c r="AC29" s="32"/>
      <c r="AD29" s="32"/>
      <c r="AE29" s="144"/>
      <c r="AF29" s="144">
        <f t="shared" ref="AF29:AF43" si="17">AC29+AE29</f>
        <v>0</v>
      </c>
      <c r="AG29" s="144"/>
      <c r="AH29" s="144"/>
      <c r="AJ29" s="176"/>
      <c r="AK29" s="142"/>
      <c r="AL29" s="144"/>
      <c r="AM29" s="152">
        <f>AM28-AN28</f>
        <v>250</v>
      </c>
      <c r="AN29" s="171"/>
      <c r="AO29" s="201">
        <f>AO28-AN28</f>
        <v>160</v>
      </c>
      <c r="AQ29" s="142"/>
      <c r="AR29" s="92"/>
      <c r="AS29" s="93"/>
      <c r="AT29" s="4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Q29" t="s">
        <v>0</v>
      </c>
      <c r="BS29" t="s">
        <v>152</v>
      </c>
      <c r="BT29" s="63">
        <f>BT28</f>
        <v>12</v>
      </c>
      <c r="BU29" s="64" t="s">
        <v>95</v>
      </c>
      <c r="BV29">
        <f>BV28</f>
        <v>23</v>
      </c>
      <c r="BW29" t="s">
        <v>155</v>
      </c>
      <c r="CB29">
        <f>CB28</f>
        <v>52.17</v>
      </c>
      <c r="CC29" t="str">
        <f>CC28</f>
        <v>%</v>
      </c>
      <c r="CD29" t="str">
        <f>CD28</f>
        <v xml:space="preserve"> = </v>
      </c>
      <c r="CE29" t="str">
        <f>CB29&amp;CC29</f>
        <v>52,17%</v>
      </c>
      <c r="CF29" t="s">
        <v>153</v>
      </c>
      <c r="CG29" t="str">
        <f>BQ29&amp;BS29&amp;BT29&amp;BW29&amp;BU29&amp;BV29&amp;CD29&amp;CE29&amp;CF29</f>
        <v xml:space="preserve">Algèbre ( 12 dossiers  / 23 = 52,17% ) </v>
      </c>
    </row>
    <row r="30" spans="1:85" ht="15" customHeight="1" x14ac:dyDescent="0.25">
      <c r="B30" s="356">
        <f t="shared" ref="B30:B43" si="18">IF(J30=1,1,0)</f>
        <v>0</v>
      </c>
      <c r="C30" s="356">
        <f t="shared" si="8"/>
        <v>0</v>
      </c>
      <c r="D30" s="88"/>
      <c r="G30" s="156"/>
      <c r="H30" s="42"/>
      <c r="I30" s="264" t="str">
        <f>I3</f>
        <v>Méthodes et formules démontrées</v>
      </c>
      <c r="J30" s="264"/>
      <c r="K30" s="262"/>
      <c r="L30" s="262" t="s">
        <v>376</v>
      </c>
      <c r="M30" s="263"/>
      <c r="N30" s="268"/>
      <c r="O30" s="381" t="s">
        <v>381</v>
      </c>
      <c r="P30" s="379"/>
      <c r="Q30" s="380"/>
      <c r="R30" s="381" t="s">
        <v>87</v>
      </c>
      <c r="S30" s="380"/>
      <c r="T30" s="42"/>
      <c r="U30" s="42"/>
      <c r="V30" s="228" t="s">
        <v>383</v>
      </c>
      <c r="W30" s="42"/>
      <c r="X30" s="394" t="s">
        <v>291</v>
      </c>
      <c r="Y30" s="395"/>
      <c r="Z30" s="233"/>
      <c r="AA30" s="53"/>
      <c r="AB30" s="228">
        <f>AA30</f>
        <v>0</v>
      </c>
      <c r="AC30" s="228"/>
      <c r="AD30" s="228"/>
      <c r="AE30" s="152"/>
      <c r="AF30" s="152">
        <f t="shared" si="17"/>
        <v>0</v>
      </c>
      <c r="AG30" s="152"/>
      <c r="AH30" s="152"/>
      <c r="AJ30" s="176"/>
      <c r="AK30" s="142"/>
      <c r="AL30" s="144"/>
      <c r="AM30" s="217"/>
      <c r="AN30" s="191"/>
      <c r="AO30" s="218"/>
      <c r="AQ30" s="142"/>
      <c r="AR30" s="92"/>
      <c r="AS30" s="93"/>
      <c r="AT30" s="4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</row>
    <row r="31" spans="1:85" ht="15" customHeight="1" x14ac:dyDescent="0.25">
      <c r="B31" s="356">
        <f t="shared" si="18"/>
        <v>0</v>
      </c>
      <c r="C31" s="356">
        <f t="shared" si="8"/>
        <v>0</v>
      </c>
      <c r="D31" s="88"/>
      <c r="G31" s="28"/>
      <c r="H31" s="32"/>
      <c r="I31" s="28" t="s">
        <v>7</v>
      </c>
      <c r="J31" s="26" t="str">
        <f>J4</f>
        <v>dos</v>
      </c>
      <c r="K31" s="26"/>
      <c r="L31" s="26">
        <v>1</v>
      </c>
      <c r="M31" s="27" t="s">
        <v>473</v>
      </c>
      <c r="N31" s="26" t="s">
        <v>382</v>
      </c>
      <c r="O31" s="26" t="s">
        <v>17</v>
      </c>
      <c r="P31" s="27" t="s">
        <v>361</v>
      </c>
      <c r="Q31" s="27" t="s">
        <v>97</v>
      </c>
      <c r="R31" s="153" t="s">
        <v>27</v>
      </c>
      <c r="S31" s="154" t="s">
        <v>104</v>
      </c>
      <c r="T31" s="237"/>
      <c r="U31" s="237"/>
      <c r="V31" s="28" t="s">
        <v>138</v>
      </c>
      <c r="W31" s="237"/>
      <c r="X31" s="155" t="s">
        <v>295</v>
      </c>
      <c r="Y31" s="155" t="s">
        <v>296</v>
      </c>
      <c r="Z31" s="233"/>
      <c r="AA31" s="32"/>
      <c r="AB31" s="28" t="s">
        <v>17</v>
      </c>
      <c r="AC31" s="28"/>
      <c r="AD31" s="28"/>
      <c r="AE31" s="152"/>
      <c r="AF31" s="152">
        <f t="shared" si="17"/>
        <v>0</v>
      </c>
      <c r="AG31" s="152"/>
      <c r="AH31" s="152"/>
      <c r="AJ31" s="175"/>
      <c r="AK31" s="140"/>
      <c r="AL31" s="147"/>
      <c r="AM31" s="145"/>
      <c r="AN31" s="198"/>
      <c r="AO31" s="138"/>
      <c r="AQ31" s="142"/>
      <c r="AR31" s="92"/>
      <c r="AS31" s="93"/>
      <c r="AT31" s="4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U31" s="64"/>
    </row>
    <row r="32" spans="1:85" ht="15" customHeight="1" x14ac:dyDescent="0.25">
      <c r="B32" s="356">
        <f t="shared" si="18"/>
        <v>0</v>
      </c>
      <c r="C32" s="356">
        <f t="shared" si="8"/>
        <v>1</v>
      </c>
      <c r="D32" s="88"/>
      <c r="G32" s="86">
        <v>1</v>
      </c>
      <c r="H32" s="272"/>
      <c r="I32" s="76" t="s">
        <v>9</v>
      </c>
      <c r="J32" s="86" t="s">
        <v>21</v>
      </c>
      <c r="K32" s="86"/>
      <c r="L32" s="73"/>
      <c r="M32" s="73"/>
      <c r="N32" s="73"/>
      <c r="O32" s="73"/>
      <c r="P32" s="73">
        <v>4</v>
      </c>
      <c r="Q32" s="73"/>
      <c r="R32" s="73">
        <v>33</v>
      </c>
      <c r="S32" s="77">
        <f t="shared" ref="S32:S42" si="19">IF(R32=0,"",P32/R32)</f>
        <v>0.12121212121212122</v>
      </c>
      <c r="T32" s="48"/>
      <c r="U32" s="48"/>
      <c r="V32" s="73"/>
      <c r="W32" s="48"/>
      <c r="X32" s="142"/>
      <c r="Y32" s="142"/>
      <c r="Z32" s="142"/>
      <c r="AA32" s="32"/>
      <c r="AB32" s="73"/>
      <c r="AC32" s="73"/>
      <c r="AD32" s="73"/>
      <c r="AE32" s="142">
        <f>V32</f>
        <v>0</v>
      </c>
      <c r="AF32" s="142">
        <f t="shared" si="17"/>
        <v>0</v>
      </c>
      <c r="AG32" s="142"/>
      <c r="AH32" s="142"/>
      <c r="AJ32" s="176"/>
      <c r="AK32" s="142"/>
      <c r="AL32" s="144"/>
      <c r="AM32" s="142">
        <f t="shared" ref="AM32:AM43" si="20">P32</f>
        <v>4</v>
      </c>
      <c r="AN32" s="170">
        <f t="shared" ref="AN32:AN43" si="21">X32</f>
        <v>0</v>
      </c>
      <c r="AO32" s="142">
        <f t="shared" ref="AO32:AO43" si="22">R32</f>
        <v>33</v>
      </c>
      <c r="AQ32" s="142"/>
      <c r="AR32" s="92">
        <f t="shared" ref="AR32:AR43" si="23">P32</f>
        <v>4</v>
      </c>
      <c r="AS32" s="93">
        <f t="shared" ref="AS32:AS43" si="24">R32</f>
        <v>33</v>
      </c>
      <c r="AT32" s="4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U32" s="64"/>
    </row>
    <row r="33" spans="1:85" ht="15" customHeight="1" x14ac:dyDescent="0.25">
      <c r="B33" s="356">
        <f t="shared" si="18"/>
        <v>1</v>
      </c>
      <c r="C33" s="356">
        <f t="shared" si="8"/>
        <v>1</v>
      </c>
      <c r="D33" s="88">
        <v>1</v>
      </c>
      <c r="G33" s="73">
        <v>1</v>
      </c>
      <c r="H33" s="32"/>
      <c r="I33" s="76" t="s">
        <v>26</v>
      </c>
      <c r="J33" s="73">
        <v>1</v>
      </c>
      <c r="K33" s="73"/>
      <c r="L33" s="73"/>
      <c r="M33" s="73"/>
      <c r="N33" s="73"/>
      <c r="O33" s="73"/>
      <c r="P33" s="73">
        <v>7</v>
      </c>
      <c r="Q33" s="73"/>
      <c r="R33" s="73">
        <v>7</v>
      </c>
      <c r="S33" s="77">
        <f t="shared" si="19"/>
        <v>1</v>
      </c>
      <c r="T33" s="48"/>
      <c r="U33" s="48"/>
      <c r="V33" s="73"/>
      <c r="W33" s="48"/>
      <c r="X33" s="142"/>
      <c r="Y33" s="142"/>
      <c r="Z33" s="142"/>
      <c r="AA33" s="32"/>
      <c r="AB33" s="73">
        <v>4</v>
      </c>
      <c r="AC33" s="73"/>
      <c r="AD33" s="73"/>
      <c r="AE33" s="142">
        <f t="shared" ref="AE33:AE43" si="25">V33</f>
        <v>0</v>
      </c>
      <c r="AF33" s="142">
        <f t="shared" si="17"/>
        <v>0</v>
      </c>
      <c r="AG33" s="142"/>
      <c r="AH33" s="142"/>
      <c r="AJ33" s="176"/>
      <c r="AK33" s="142"/>
      <c r="AL33" s="144"/>
      <c r="AM33" s="142">
        <f t="shared" si="20"/>
        <v>7</v>
      </c>
      <c r="AN33" s="170">
        <f t="shared" si="21"/>
        <v>0</v>
      </c>
      <c r="AO33" s="142">
        <f t="shared" si="22"/>
        <v>7</v>
      </c>
      <c r="AQ33" s="142"/>
      <c r="AR33" s="92">
        <f t="shared" si="23"/>
        <v>7</v>
      </c>
      <c r="AS33" s="93">
        <f t="shared" si="24"/>
        <v>7</v>
      </c>
      <c r="AT33" s="4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U33" s="64"/>
    </row>
    <row r="34" spans="1:85" ht="15" customHeight="1" x14ac:dyDescent="0.25">
      <c r="B34" s="356">
        <f t="shared" si="18"/>
        <v>0</v>
      </c>
      <c r="C34" s="356">
        <f t="shared" si="8"/>
        <v>0</v>
      </c>
      <c r="D34" s="88">
        <f>D33</f>
        <v>1</v>
      </c>
      <c r="G34" s="73"/>
      <c r="H34" s="32"/>
      <c r="I34" s="79" t="s">
        <v>39</v>
      </c>
      <c r="J34" s="73"/>
      <c r="K34" s="73"/>
      <c r="L34" s="73"/>
      <c r="M34" s="73"/>
      <c r="N34" s="73"/>
      <c r="O34" s="73"/>
      <c r="P34" s="73">
        <v>28</v>
      </c>
      <c r="Q34" s="73"/>
      <c r="R34" s="73"/>
      <c r="S34" s="77" t="str">
        <f t="shared" si="19"/>
        <v/>
      </c>
      <c r="T34" s="48"/>
      <c r="U34" s="48"/>
      <c r="V34" s="73"/>
      <c r="W34" s="48"/>
      <c r="X34" s="142"/>
      <c r="Y34" s="142"/>
      <c r="Z34" s="142"/>
      <c r="AA34" s="32"/>
      <c r="AB34" s="73"/>
      <c r="AC34" s="73"/>
      <c r="AD34" s="73"/>
      <c r="AE34" s="142">
        <f t="shared" si="25"/>
        <v>0</v>
      </c>
      <c r="AF34" s="142">
        <f t="shared" si="17"/>
        <v>0</v>
      </c>
      <c r="AG34" s="142"/>
      <c r="AH34" s="142"/>
      <c r="AJ34" s="176"/>
      <c r="AK34" s="142"/>
      <c r="AL34" s="144"/>
      <c r="AM34" s="142">
        <f t="shared" si="20"/>
        <v>28</v>
      </c>
      <c r="AN34" s="170">
        <f t="shared" si="21"/>
        <v>0</v>
      </c>
      <c r="AO34" s="142">
        <f t="shared" si="22"/>
        <v>0</v>
      </c>
      <c r="AQ34" s="142"/>
      <c r="AR34" s="92">
        <f t="shared" si="23"/>
        <v>28</v>
      </c>
      <c r="AS34" s="93">
        <f t="shared" si="24"/>
        <v>0</v>
      </c>
      <c r="AT34" s="4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U34" s="64"/>
    </row>
    <row r="35" spans="1:85" ht="15" customHeight="1" x14ac:dyDescent="0.25">
      <c r="B35" s="356">
        <f t="shared" si="18"/>
        <v>1</v>
      </c>
      <c r="C35" s="356">
        <f t="shared" si="8"/>
        <v>1</v>
      </c>
      <c r="D35" s="88">
        <f t="shared" ref="D35:D43" si="26">D34</f>
        <v>1</v>
      </c>
      <c r="G35" s="73">
        <v>1</v>
      </c>
      <c r="H35" s="32"/>
      <c r="I35" s="76" t="s">
        <v>103</v>
      </c>
      <c r="J35" s="73">
        <v>1</v>
      </c>
      <c r="K35" s="73"/>
      <c r="L35" s="73">
        <v>1</v>
      </c>
      <c r="M35" s="73"/>
      <c r="N35" s="73">
        <v>1</v>
      </c>
      <c r="O35" s="73">
        <v>5</v>
      </c>
      <c r="P35" s="73">
        <v>106</v>
      </c>
      <c r="Q35" s="73">
        <v>-1</v>
      </c>
      <c r="R35" s="73">
        <v>57</v>
      </c>
      <c r="S35" s="77">
        <f t="shared" si="19"/>
        <v>1.8596491228070176</v>
      </c>
      <c r="T35" s="48"/>
      <c r="U35" s="48"/>
      <c r="V35" s="73"/>
      <c r="W35" s="48"/>
      <c r="X35" s="142"/>
      <c r="Y35" s="142">
        <v>2</v>
      </c>
      <c r="Z35" s="142"/>
      <c r="AA35" s="32"/>
      <c r="AB35" s="73">
        <v>9</v>
      </c>
      <c r="AC35" s="73"/>
      <c r="AD35" s="73"/>
      <c r="AE35" s="142">
        <f t="shared" si="25"/>
        <v>0</v>
      </c>
      <c r="AF35" s="142">
        <f t="shared" si="17"/>
        <v>0</v>
      </c>
      <c r="AG35" s="142"/>
      <c r="AH35" s="142"/>
      <c r="AJ35" s="176">
        <v>2</v>
      </c>
      <c r="AK35" s="142">
        <v>2</v>
      </c>
      <c r="AL35" s="144"/>
      <c r="AM35" s="142">
        <f t="shared" si="20"/>
        <v>106</v>
      </c>
      <c r="AN35" s="170">
        <f t="shared" si="21"/>
        <v>0</v>
      </c>
      <c r="AO35" s="142">
        <f t="shared" si="22"/>
        <v>57</v>
      </c>
      <c r="AQ35" s="142"/>
      <c r="AR35" s="92">
        <f t="shared" si="23"/>
        <v>106</v>
      </c>
      <c r="AS35" s="93">
        <f t="shared" si="24"/>
        <v>57</v>
      </c>
      <c r="AT35" s="4">
        <v>2</v>
      </c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U35" s="64"/>
    </row>
    <row r="36" spans="1:85" ht="15" customHeight="1" x14ac:dyDescent="0.25">
      <c r="B36" s="356">
        <f t="shared" si="18"/>
        <v>1</v>
      </c>
      <c r="C36" s="356">
        <f t="shared" si="8"/>
        <v>1</v>
      </c>
      <c r="D36" s="88">
        <v>1</v>
      </c>
      <c r="G36" s="73">
        <v>1</v>
      </c>
      <c r="H36" s="32"/>
      <c r="I36" s="76" t="s">
        <v>354</v>
      </c>
      <c r="J36" s="73">
        <v>1</v>
      </c>
      <c r="K36" s="73"/>
      <c r="L36" s="73"/>
      <c r="M36" s="73"/>
      <c r="N36" s="73"/>
      <c r="O36" s="73">
        <v>1</v>
      </c>
      <c r="P36" s="73">
        <v>34</v>
      </c>
      <c r="Q36" s="73"/>
      <c r="R36" s="73">
        <v>34</v>
      </c>
      <c r="S36" s="77">
        <f t="shared" si="19"/>
        <v>1</v>
      </c>
      <c r="T36" s="48"/>
      <c r="U36" s="48"/>
      <c r="V36" s="73">
        <v>25</v>
      </c>
      <c r="W36" s="48"/>
      <c r="X36" s="142"/>
      <c r="Y36" s="142"/>
      <c r="Z36" s="142"/>
      <c r="AA36" s="32"/>
      <c r="AB36" s="73">
        <v>25</v>
      </c>
      <c r="AC36" s="73"/>
      <c r="AD36" s="73"/>
      <c r="AE36" s="142">
        <f t="shared" si="25"/>
        <v>25</v>
      </c>
      <c r="AF36" s="142">
        <f t="shared" si="17"/>
        <v>25</v>
      </c>
      <c r="AG36" s="142"/>
      <c r="AH36" s="142"/>
      <c r="AJ36" s="176"/>
      <c r="AK36" s="142"/>
      <c r="AL36" s="144"/>
      <c r="AM36" s="142">
        <f t="shared" si="20"/>
        <v>34</v>
      </c>
      <c r="AN36" s="170">
        <f t="shared" si="21"/>
        <v>0</v>
      </c>
      <c r="AO36" s="142">
        <f t="shared" si="22"/>
        <v>34</v>
      </c>
      <c r="AQ36" s="142"/>
      <c r="AR36" s="92">
        <f t="shared" si="23"/>
        <v>34</v>
      </c>
      <c r="AS36" s="93">
        <f t="shared" si="24"/>
        <v>34</v>
      </c>
      <c r="AT36" s="4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U36" s="64"/>
    </row>
    <row r="37" spans="1:85" ht="15" customHeight="1" x14ac:dyDescent="0.25">
      <c r="B37" s="356">
        <f t="shared" si="18"/>
        <v>0</v>
      </c>
      <c r="C37" s="356">
        <f t="shared" si="8"/>
        <v>0</v>
      </c>
      <c r="D37" s="88">
        <f>D35</f>
        <v>1</v>
      </c>
      <c r="G37" s="73"/>
      <c r="H37" s="32"/>
      <c r="I37" s="76" t="s">
        <v>156</v>
      </c>
      <c r="J37" s="73"/>
      <c r="K37" s="73"/>
      <c r="L37" s="73"/>
      <c r="M37" s="73"/>
      <c r="N37" s="73"/>
      <c r="O37" s="73"/>
      <c r="P37" s="73">
        <v>12</v>
      </c>
      <c r="Q37" s="73"/>
      <c r="R37" s="73">
        <v>12</v>
      </c>
      <c r="S37" s="77">
        <f t="shared" si="19"/>
        <v>1</v>
      </c>
      <c r="T37" s="48"/>
      <c r="U37" s="48"/>
      <c r="V37" s="73"/>
      <c r="W37" s="48"/>
      <c r="X37" s="142"/>
      <c r="Y37" s="142"/>
      <c r="Z37" s="142"/>
      <c r="AA37" s="32"/>
      <c r="AB37" s="73"/>
      <c r="AC37" s="73"/>
      <c r="AD37" s="73"/>
      <c r="AE37" s="142">
        <f t="shared" si="25"/>
        <v>0</v>
      </c>
      <c r="AF37" s="142">
        <f t="shared" si="17"/>
        <v>0</v>
      </c>
      <c r="AG37" s="142"/>
      <c r="AH37" s="142"/>
      <c r="AJ37" s="176"/>
      <c r="AK37" s="142"/>
      <c r="AL37" s="144"/>
      <c r="AM37" s="142">
        <f t="shared" si="20"/>
        <v>12</v>
      </c>
      <c r="AN37" s="170">
        <f t="shared" si="21"/>
        <v>0</v>
      </c>
      <c r="AO37" s="142">
        <f t="shared" si="22"/>
        <v>12</v>
      </c>
      <c r="AQ37" s="142"/>
      <c r="AR37" s="92">
        <f t="shared" si="23"/>
        <v>12</v>
      </c>
      <c r="AS37" s="93">
        <f t="shared" si="24"/>
        <v>12</v>
      </c>
      <c r="AT37" s="4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U37" s="64"/>
    </row>
    <row r="38" spans="1:85" ht="15" customHeight="1" x14ac:dyDescent="0.25">
      <c r="B38" s="356">
        <f t="shared" si="18"/>
        <v>0</v>
      </c>
      <c r="C38" s="356">
        <f t="shared" si="8"/>
        <v>0</v>
      </c>
      <c r="D38" s="88">
        <f t="shared" si="26"/>
        <v>1</v>
      </c>
      <c r="G38" s="73"/>
      <c r="H38" s="32"/>
      <c r="I38" s="76" t="s">
        <v>25</v>
      </c>
      <c r="J38" s="73"/>
      <c r="K38" s="73"/>
      <c r="L38" s="73"/>
      <c r="M38" s="73"/>
      <c r="N38" s="73"/>
      <c r="O38" s="73"/>
      <c r="P38" s="73">
        <v>1</v>
      </c>
      <c r="Q38" s="73"/>
      <c r="R38" s="73">
        <v>14</v>
      </c>
      <c r="S38" s="77">
        <f t="shared" si="19"/>
        <v>7.1428571428571425E-2</v>
      </c>
      <c r="T38" s="48"/>
      <c r="U38" s="48"/>
      <c r="V38" s="73"/>
      <c r="W38" s="48"/>
      <c r="X38" s="142"/>
      <c r="Y38" s="142"/>
      <c r="Z38" s="142"/>
      <c r="AA38" s="32"/>
      <c r="AB38" s="73"/>
      <c r="AC38" s="73"/>
      <c r="AD38" s="73"/>
      <c r="AE38" s="142">
        <f t="shared" si="25"/>
        <v>0</v>
      </c>
      <c r="AF38" s="142">
        <f t="shared" si="17"/>
        <v>0</v>
      </c>
      <c r="AG38" s="142"/>
      <c r="AH38" s="142"/>
      <c r="AJ38" s="176"/>
      <c r="AK38" s="142"/>
      <c r="AL38" s="144"/>
      <c r="AM38" s="142">
        <f t="shared" si="20"/>
        <v>1</v>
      </c>
      <c r="AN38" s="170">
        <f t="shared" si="21"/>
        <v>0</v>
      </c>
      <c r="AO38" s="142">
        <f t="shared" si="22"/>
        <v>14</v>
      </c>
      <c r="AQ38" s="142"/>
      <c r="AR38" s="92">
        <f t="shared" si="23"/>
        <v>1</v>
      </c>
      <c r="AS38" s="93">
        <f t="shared" si="24"/>
        <v>14</v>
      </c>
      <c r="AT38" s="4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U38" s="64"/>
    </row>
    <row r="39" spans="1:85" ht="15" customHeight="1" x14ac:dyDescent="0.25">
      <c r="B39" s="356">
        <f t="shared" si="18"/>
        <v>0</v>
      </c>
      <c r="C39" s="356">
        <f t="shared" si="8"/>
        <v>1</v>
      </c>
      <c r="D39" s="88">
        <f t="shared" si="26"/>
        <v>1</v>
      </c>
      <c r="G39" s="73"/>
      <c r="H39" s="32"/>
      <c r="I39" s="352" t="s">
        <v>470</v>
      </c>
      <c r="J39" s="73" t="s">
        <v>21</v>
      </c>
      <c r="K39" s="73"/>
      <c r="L39" s="73"/>
      <c r="M39" s="73"/>
      <c r="N39" s="73">
        <v>0</v>
      </c>
      <c r="O39" s="73">
        <v>0</v>
      </c>
      <c r="P39" s="73">
        <v>23</v>
      </c>
      <c r="Q39" s="73">
        <v>12</v>
      </c>
      <c r="R39" s="73">
        <v>27</v>
      </c>
      <c r="S39" s="77">
        <f t="shared" si="19"/>
        <v>0.85185185185185186</v>
      </c>
      <c r="T39" s="48"/>
      <c r="U39" s="48"/>
      <c r="V39" s="73"/>
      <c r="W39" s="48"/>
      <c r="X39" s="142"/>
      <c r="Y39" s="142"/>
      <c r="Z39" s="142"/>
      <c r="AA39" s="32"/>
      <c r="AB39" s="73"/>
      <c r="AC39" s="73"/>
      <c r="AD39" s="73"/>
      <c r="AE39" s="142">
        <v>12</v>
      </c>
      <c r="AF39" s="142">
        <f t="shared" si="17"/>
        <v>12</v>
      </c>
      <c r="AG39" s="142"/>
      <c r="AH39" s="142"/>
      <c r="AJ39" s="176"/>
      <c r="AK39" s="142"/>
      <c r="AL39" s="144"/>
      <c r="AM39" s="142">
        <f t="shared" si="20"/>
        <v>23</v>
      </c>
      <c r="AN39" s="170">
        <f t="shared" si="21"/>
        <v>0</v>
      </c>
      <c r="AO39" s="142">
        <f t="shared" si="22"/>
        <v>27</v>
      </c>
      <c r="AQ39" s="142"/>
      <c r="AR39" s="92">
        <f t="shared" si="23"/>
        <v>23</v>
      </c>
      <c r="AS39" s="93">
        <f t="shared" si="24"/>
        <v>27</v>
      </c>
      <c r="AT39" s="4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U39" s="64"/>
    </row>
    <row r="40" spans="1:85" ht="15" customHeight="1" x14ac:dyDescent="0.25">
      <c r="B40" s="356">
        <f t="shared" si="18"/>
        <v>0</v>
      </c>
      <c r="C40" s="356">
        <f t="shared" si="8"/>
        <v>0</v>
      </c>
      <c r="D40" s="88">
        <f t="shared" si="26"/>
        <v>1</v>
      </c>
      <c r="G40" s="73"/>
      <c r="H40" s="32"/>
      <c r="I40" s="76" t="s">
        <v>40</v>
      </c>
      <c r="J40" s="73"/>
      <c r="K40" s="73"/>
      <c r="L40" s="73"/>
      <c r="M40" s="73"/>
      <c r="N40" s="73"/>
      <c r="O40" s="73"/>
      <c r="P40" s="73"/>
      <c r="Q40" s="73"/>
      <c r="R40" s="73">
        <v>55</v>
      </c>
      <c r="S40" s="77">
        <f t="shared" si="19"/>
        <v>0</v>
      </c>
      <c r="T40" s="48"/>
      <c r="U40" s="48"/>
      <c r="V40" s="73"/>
      <c r="W40" s="48"/>
      <c r="X40" s="142"/>
      <c r="Y40" s="142"/>
      <c r="Z40" s="142"/>
      <c r="AA40" s="32"/>
      <c r="AB40" s="73"/>
      <c r="AC40" s="73"/>
      <c r="AD40" s="73"/>
      <c r="AE40" s="142">
        <f t="shared" si="25"/>
        <v>0</v>
      </c>
      <c r="AF40" s="142">
        <f t="shared" si="17"/>
        <v>0</v>
      </c>
      <c r="AG40" s="142"/>
      <c r="AH40" s="142"/>
      <c r="AJ40" s="176"/>
      <c r="AK40" s="142"/>
      <c r="AL40" s="144"/>
      <c r="AM40" s="142">
        <f t="shared" si="20"/>
        <v>0</v>
      </c>
      <c r="AN40" s="170">
        <f t="shared" si="21"/>
        <v>0</v>
      </c>
      <c r="AO40" s="142">
        <f t="shared" si="22"/>
        <v>55</v>
      </c>
      <c r="AQ40" s="142"/>
      <c r="AR40" s="92">
        <f t="shared" si="23"/>
        <v>0</v>
      </c>
      <c r="AS40" s="93">
        <f t="shared" si="24"/>
        <v>55</v>
      </c>
      <c r="AT40" s="4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U40" s="64"/>
    </row>
    <row r="41" spans="1:85" ht="15" customHeight="1" x14ac:dyDescent="0.25">
      <c r="B41" s="356">
        <f t="shared" si="18"/>
        <v>0</v>
      </c>
      <c r="C41" s="356">
        <f t="shared" si="8"/>
        <v>1</v>
      </c>
      <c r="D41" s="88">
        <f t="shared" si="26"/>
        <v>1</v>
      </c>
      <c r="G41" s="86">
        <v>1</v>
      </c>
      <c r="H41" s="272"/>
      <c r="I41" s="76" t="s">
        <v>41</v>
      </c>
      <c r="J41" s="86" t="s">
        <v>21</v>
      </c>
      <c r="K41" s="86"/>
      <c r="L41" s="73"/>
      <c r="M41" s="73"/>
      <c r="N41" s="73"/>
      <c r="O41" s="73">
        <v>2</v>
      </c>
      <c r="P41" s="73">
        <v>5</v>
      </c>
      <c r="Q41" s="73"/>
      <c r="R41" s="73">
        <v>16</v>
      </c>
      <c r="S41" s="77">
        <f t="shared" si="19"/>
        <v>0.3125</v>
      </c>
      <c r="T41" s="48"/>
      <c r="U41" s="48"/>
      <c r="V41" s="73"/>
      <c r="W41" s="48"/>
      <c r="X41" s="142"/>
      <c r="Y41" s="142"/>
      <c r="Z41" s="142"/>
      <c r="AA41" s="32"/>
      <c r="AB41" s="73">
        <v>2</v>
      </c>
      <c r="AC41" s="73"/>
      <c r="AD41" s="73"/>
      <c r="AE41" s="142">
        <f t="shared" si="25"/>
        <v>0</v>
      </c>
      <c r="AF41" s="142">
        <f t="shared" si="17"/>
        <v>0</v>
      </c>
      <c r="AG41" s="142"/>
      <c r="AH41" s="142"/>
      <c r="AJ41" s="176"/>
      <c r="AK41" s="142"/>
      <c r="AL41" s="144"/>
      <c r="AM41" s="142">
        <f t="shared" si="20"/>
        <v>5</v>
      </c>
      <c r="AN41" s="170">
        <f t="shared" si="21"/>
        <v>0</v>
      </c>
      <c r="AO41" s="142">
        <f t="shared" si="22"/>
        <v>16</v>
      </c>
      <c r="AQ41" s="142"/>
      <c r="AR41" s="92">
        <f t="shared" si="23"/>
        <v>5</v>
      </c>
      <c r="AS41" s="93">
        <f t="shared" si="24"/>
        <v>16</v>
      </c>
      <c r="AT41" s="4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U41" s="64"/>
    </row>
    <row r="42" spans="1:85" ht="15" customHeight="1" x14ac:dyDescent="0.25">
      <c r="B42" s="356">
        <f t="shared" si="18"/>
        <v>0</v>
      </c>
      <c r="C42" s="356">
        <f t="shared" si="8"/>
        <v>0</v>
      </c>
      <c r="D42" s="88">
        <f t="shared" si="26"/>
        <v>1</v>
      </c>
      <c r="G42" s="73"/>
      <c r="H42" s="32"/>
      <c r="I42" s="76" t="s">
        <v>43</v>
      </c>
      <c r="J42" s="73"/>
      <c r="K42" s="73"/>
      <c r="L42" s="73"/>
      <c r="M42" s="73"/>
      <c r="N42" s="73"/>
      <c r="O42" s="73"/>
      <c r="P42" s="73"/>
      <c r="Q42" s="73"/>
      <c r="R42" s="73">
        <v>42</v>
      </c>
      <c r="S42" s="77">
        <f t="shared" si="19"/>
        <v>0</v>
      </c>
      <c r="T42" s="48"/>
      <c r="U42" s="48"/>
      <c r="V42" s="73"/>
      <c r="W42" s="48"/>
      <c r="X42" s="142"/>
      <c r="Y42" s="142"/>
      <c r="Z42" s="142"/>
      <c r="AA42" s="32"/>
      <c r="AB42" s="73"/>
      <c r="AC42" s="73"/>
      <c r="AD42" s="73"/>
      <c r="AE42" s="142">
        <f t="shared" si="25"/>
        <v>0</v>
      </c>
      <c r="AF42" s="142">
        <f t="shared" si="17"/>
        <v>0</v>
      </c>
      <c r="AG42" s="142"/>
      <c r="AH42" s="142"/>
      <c r="AJ42" s="176"/>
      <c r="AK42" s="142"/>
      <c r="AL42" s="144"/>
      <c r="AM42" s="142">
        <f t="shared" si="20"/>
        <v>0</v>
      </c>
      <c r="AN42" s="170">
        <f t="shared" si="21"/>
        <v>0</v>
      </c>
      <c r="AO42" s="142">
        <f t="shared" si="22"/>
        <v>42</v>
      </c>
      <c r="AQ42" s="142"/>
      <c r="AR42" s="92">
        <f t="shared" si="23"/>
        <v>0</v>
      </c>
      <c r="AS42" s="93">
        <f t="shared" si="24"/>
        <v>42</v>
      </c>
      <c r="AT42" s="4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U42" s="64"/>
    </row>
    <row r="43" spans="1:85" ht="15" customHeight="1" x14ac:dyDescent="0.25">
      <c r="B43" s="356">
        <f t="shared" si="18"/>
        <v>0</v>
      </c>
      <c r="C43" s="356">
        <f t="shared" si="8"/>
        <v>0</v>
      </c>
      <c r="D43" s="88">
        <f t="shared" si="26"/>
        <v>1</v>
      </c>
      <c r="G43" s="73"/>
      <c r="H43" s="32"/>
      <c r="I43" s="76"/>
      <c r="J43" s="73"/>
      <c r="K43" s="73"/>
      <c r="L43" s="73"/>
      <c r="M43" s="73"/>
      <c r="N43" s="73"/>
      <c r="O43" s="73"/>
      <c r="P43" s="73"/>
      <c r="Q43" s="73"/>
      <c r="R43" s="73"/>
      <c r="S43" s="77"/>
      <c r="T43" s="48"/>
      <c r="U43" s="48"/>
      <c r="V43" s="73"/>
      <c r="W43" s="48"/>
      <c r="X43" s="142"/>
      <c r="Y43" s="142"/>
      <c r="Z43" s="142"/>
      <c r="AA43" s="32"/>
      <c r="AB43" s="73"/>
      <c r="AC43" s="73"/>
      <c r="AD43" s="73"/>
      <c r="AE43" s="142">
        <f t="shared" si="25"/>
        <v>0</v>
      </c>
      <c r="AF43" s="142">
        <f t="shared" si="17"/>
        <v>0</v>
      </c>
      <c r="AG43" s="142"/>
      <c r="AH43" s="142"/>
      <c r="AJ43" s="176"/>
      <c r="AK43" s="142"/>
      <c r="AL43" s="144"/>
      <c r="AM43" s="142">
        <f t="shared" si="20"/>
        <v>0</v>
      </c>
      <c r="AN43" s="170">
        <f t="shared" si="21"/>
        <v>0</v>
      </c>
      <c r="AO43" s="142">
        <f t="shared" si="22"/>
        <v>0</v>
      </c>
      <c r="AQ43" s="142"/>
      <c r="AR43" s="92">
        <f t="shared" si="23"/>
        <v>0</v>
      </c>
      <c r="AS43" s="93">
        <f t="shared" si="24"/>
        <v>0</v>
      </c>
      <c r="AT43" s="4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U43" s="64"/>
    </row>
    <row r="44" spans="1:85" ht="15" customHeight="1" x14ac:dyDescent="0.25">
      <c r="C44" s="356">
        <f t="shared" si="8"/>
        <v>0</v>
      </c>
      <c r="D44" s="88"/>
      <c r="G44" s="28">
        <f>SUM(G32:G43)</f>
        <v>5</v>
      </c>
      <c r="H44" s="32"/>
      <c r="I44" s="25" t="str">
        <f>CG44</f>
        <v>nombre de dossiers = 3 / 11 = 27,27%</v>
      </c>
      <c r="J44" s="80">
        <f>B45</f>
        <v>3</v>
      </c>
      <c r="K44" s="80"/>
      <c r="L44" s="26">
        <f>SUM(L32:L43)</f>
        <v>1</v>
      </c>
      <c r="M44" s="26">
        <f t="shared" ref="M44" si="27">SUM(M32:M43)</f>
        <v>0</v>
      </c>
      <c r="N44" s="26">
        <f t="shared" ref="N44" si="28">SUM(N32:N43)</f>
        <v>1</v>
      </c>
      <c r="O44" s="26">
        <f>SUM(O32:O43)</f>
        <v>8</v>
      </c>
      <c r="P44" s="27">
        <f>AM45</f>
        <v>220</v>
      </c>
      <c r="Q44" s="27">
        <f>SUM(Q32:Q43)</f>
        <v>11</v>
      </c>
      <c r="R44" s="263">
        <f>AO45</f>
        <v>297</v>
      </c>
      <c r="S44" s="81">
        <f>P44/R44</f>
        <v>0.7407407407407407</v>
      </c>
      <c r="T44" s="48"/>
      <c r="U44" s="48"/>
      <c r="V44" s="28">
        <f t="shared" ref="V44" si="29">SUM(V32:V43)</f>
        <v>25</v>
      </c>
      <c r="W44" s="48"/>
      <c r="X44" s="152">
        <f>SUM(X32:X43)</f>
        <v>0</v>
      </c>
      <c r="Y44" s="152">
        <f>SUM(Y32:Y43)</f>
        <v>2</v>
      </c>
      <c r="Z44" s="230"/>
      <c r="AA44" s="32"/>
      <c r="AB44" s="28">
        <f>SUM(AB32:AB43)</f>
        <v>40</v>
      </c>
      <c r="AC44" s="28">
        <f>SUM(AC32:AC43)</f>
        <v>0</v>
      </c>
      <c r="AD44" s="28"/>
      <c r="AE44" s="28">
        <f>SUM(AE32:AE43)</f>
        <v>37</v>
      </c>
      <c r="AF44" s="28">
        <f>SUM(AF32:AF43)</f>
        <v>37</v>
      </c>
      <c r="AG44" s="28"/>
      <c r="AH44" s="28"/>
      <c r="AJ44" s="156">
        <f>SUM(AJ32:AJ43)</f>
        <v>2</v>
      </c>
      <c r="AK44" s="156">
        <f>SUM(AK32:AK43)</f>
        <v>2</v>
      </c>
      <c r="AL44" s="42"/>
      <c r="AM44" s="152">
        <f>SUM(AM32:AM43)</f>
        <v>220</v>
      </c>
      <c r="AN44" s="172">
        <f>SUM(AN32:AN43)</f>
        <v>0</v>
      </c>
      <c r="AO44" s="156">
        <f>SUM(AO32:AO43)</f>
        <v>297</v>
      </c>
      <c r="AQ44" s="152"/>
      <c r="AR44" s="92">
        <f>SUM(AR4:AR43)</f>
        <v>473</v>
      </c>
      <c r="AS44" s="93">
        <f>SUM(AS4:AS43)</f>
        <v>460</v>
      </c>
      <c r="AT44" s="4">
        <f>AR44</f>
        <v>473</v>
      </c>
      <c r="AU44" s="41">
        <f>AS44</f>
        <v>460</v>
      </c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Q44" s="5" t="s">
        <v>363</v>
      </c>
      <c r="BR44" s="5"/>
      <c r="BS44" s="5" t="s">
        <v>147</v>
      </c>
      <c r="BT44" s="63">
        <f>B45</f>
        <v>3</v>
      </c>
      <c r="BU44" s="64" t="s">
        <v>95</v>
      </c>
      <c r="BV44">
        <f>D45</f>
        <v>11</v>
      </c>
      <c r="BW44" s="65">
        <f>BT44/BV44</f>
        <v>0.27272727272727271</v>
      </c>
      <c r="BX44">
        <f>BW44*100</f>
        <v>27.27272727272727</v>
      </c>
      <c r="BY44">
        <f>INT(BX44)</f>
        <v>27</v>
      </c>
      <c r="BZ44">
        <f>BX44-BY44</f>
        <v>0.27272727272726982</v>
      </c>
      <c r="CA44" t="str">
        <f>MID(BZ44,1,4)</f>
        <v>0,27</v>
      </c>
      <c r="CB44">
        <f>BY44+CA44</f>
        <v>27.27</v>
      </c>
      <c r="CC44" t="s">
        <v>149</v>
      </c>
      <c r="CD44" t="str">
        <f>BS44</f>
        <v xml:space="preserve"> = </v>
      </c>
      <c r="CE44" t="str">
        <f>CB44&amp;CC44</f>
        <v>27,27%</v>
      </c>
      <c r="CG44" t="str">
        <f>BQ44&amp;BS44&amp;BT44&amp;BU44&amp;BV44&amp;CD44&amp;CE44</f>
        <v>nombre de dossiers = 3 / 11 = 27,27%</v>
      </c>
    </row>
    <row r="45" spans="1:85" ht="15" customHeight="1" x14ac:dyDescent="0.25">
      <c r="A45" s="211"/>
      <c r="B45" s="354">
        <f>SUM(B33:B44)</f>
        <v>3</v>
      </c>
      <c r="C45" s="354">
        <f t="shared" ref="C45:D45" si="30">SUM(C33:C44)</f>
        <v>5</v>
      </c>
      <c r="D45" s="355">
        <f t="shared" si="30"/>
        <v>11</v>
      </c>
      <c r="G45" s="32"/>
      <c r="H45" s="32"/>
      <c r="I45" s="82" t="s">
        <v>353</v>
      </c>
      <c r="J45" s="32"/>
      <c r="K45" s="32"/>
      <c r="L45" s="32"/>
      <c r="M45" s="32"/>
      <c r="N45" s="32"/>
      <c r="O45" s="32"/>
      <c r="P45" s="32">
        <f>AM44</f>
        <v>220</v>
      </c>
      <c r="Q45" s="32"/>
      <c r="R45" s="32">
        <f>AO44</f>
        <v>297</v>
      </c>
      <c r="S45" s="43">
        <f>P45/R45</f>
        <v>0.7407407407407407</v>
      </c>
      <c r="T45" s="48"/>
      <c r="U45" s="48"/>
      <c r="V45" s="28"/>
      <c r="W45" s="48"/>
      <c r="X45" s="213"/>
      <c r="Y45" s="197">
        <f>Y44+X44</f>
        <v>2</v>
      </c>
      <c r="Z45" s="197"/>
      <c r="AA45" s="32"/>
      <c r="AB45" s="26"/>
      <c r="AC45" s="32"/>
      <c r="AD45" s="32"/>
      <c r="AE45" s="144"/>
      <c r="AF45" s="144">
        <f>AC45+AE45</f>
        <v>0</v>
      </c>
      <c r="AG45" s="144"/>
      <c r="AH45" s="144"/>
      <c r="AJ45" s="200"/>
      <c r="AK45" s="201"/>
      <c r="AM45" s="207">
        <f>AM44-AN44</f>
        <v>220</v>
      </c>
      <c r="AN45" s="202"/>
      <c r="AO45" s="208">
        <f>AO44-AN44</f>
        <v>297</v>
      </c>
      <c r="AQ45" s="142"/>
      <c r="AR45" s="92"/>
      <c r="AS45" s="93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Q45" s="5" t="s">
        <v>363</v>
      </c>
      <c r="BR45" s="5"/>
      <c r="BS45" s="5" t="s">
        <v>147</v>
      </c>
      <c r="BT45" s="63">
        <f>INT(J82)</f>
        <v>20</v>
      </c>
      <c r="BU45" s="64" t="s">
        <v>95</v>
      </c>
      <c r="BV45">
        <f>D82</f>
        <v>55</v>
      </c>
      <c r="BW45" s="65">
        <f>BT45/BV45</f>
        <v>0.36363636363636365</v>
      </c>
      <c r="BX45">
        <f>BW45*100</f>
        <v>36.363636363636367</v>
      </c>
      <c r="BY45">
        <f>INT(BX45)</f>
        <v>36</v>
      </c>
      <c r="BZ45">
        <f>BX45-BY45</f>
        <v>0.36363636363636687</v>
      </c>
      <c r="CA45" t="str">
        <f>MID(BZ45,1,4)</f>
        <v>0,36</v>
      </c>
      <c r="CB45">
        <f>BY45+CA45</f>
        <v>36.36</v>
      </c>
      <c r="CC45" t="s">
        <v>149</v>
      </c>
      <c r="CD45" t="str">
        <f>BS45</f>
        <v xml:space="preserve"> = </v>
      </c>
      <c r="CE45" t="str">
        <f>CB45&amp;CC45</f>
        <v>36,36%</v>
      </c>
      <c r="CG45" t="str">
        <f>BQ45&amp;BS45&amp;BT45&amp;BU45&amp;BV45&amp;CD45&amp;CE45</f>
        <v>nombre de dossiers = 20 / 55 = 36,36%</v>
      </c>
    </row>
    <row r="46" spans="1:85" ht="15" customHeight="1" x14ac:dyDescent="0.25">
      <c r="D46" s="88"/>
      <c r="G46" s="194">
        <v>15</v>
      </c>
      <c r="H46" s="53"/>
      <c r="I46" s="264" t="str">
        <f>I3</f>
        <v>Méthodes et formules démontrées</v>
      </c>
      <c r="J46" s="264"/>
      <c r="K46" s="262"/>
      <c r="L46" s="262" t="s">
        <v>376</v>
      </c>
      <c r="M46" s="263" t="s">
        <v>375</v>
      </c>
      <c r="N46" s="262"/>
      <c r="O46" s="381" t="s">
        <v>381</v>
      </c>
      <c r="P46" s="379"/>
      <c r="Q46" s="380"/>
      <c r="R46" s="381" t="s">
        <v>87</v>
      </c>
      <c r="S46" s="380"/>
      <c r="T46" s="42"/>
      <c r="U46" s="42"/>
      <c r="V46" s="228" t="s">
        <v>383</v>
      </c>
      <c r="W46" s="42"/>
      <c r="X46" s="394" t="s">
        <v>291</v>
      </c>
      <c r="Y46" s="395"/>
      <c r="Z46" s="233"/>
      <c r="AA46" s="53"/>
      <c r="AB46" s="228">
        <f>AA46</f>
        <v>0</v>
      </c>
      <c r="AC46" s="228"/>
      <c r="AD46" s="228"/>
      <c r="AE46" s="152"/>
      <c r="AF46" s="152">
        <f>AC46+AE46</f>
        <v>0</v>
      </c>
      <c r="AG46" s="152"/>
      <c r="AH46" s="152"/>
      <c r="AJ46" s="138"/>
      <c r="AK46" s="138"/>
      <c r="AL46" s="147"/>
      <c r="AM46" s="145"/>
      <c r="AN46" s="198"/>
      <c r="AO46" s="138"/>
      <c r="AQ46" s="142"/>
      <c r="AR46" s="92"/>
      <c r="AS46" s="93"/>
      <c r="AT46" s="4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Q46" s="3" t="s">
        <v>384</v>
      </c>
      <c r="BR46" s="3"/>
      <c r="BS46" t="s">
        <v>385</v>
      </c>
      <c r="BT46" s="63">
        <f>BT84</f>
        <v>21</v>
      </c>
      <c r="BU46" s="64" t="s">
        <v>95</v>
      </c>
      <c r="BV46">
        <f>BV84</f>
        <v>55</v>
      </c>
      <c r="BW46" s="65">
        <f>BT46/BV46</f>
        <v>0.38181818181818183</v>
      </c>
      <c r="BX46">
        <f>BW46*100</f>
        <v>38.181818181818187</v>
      </c>
      <c r="BY46">
        <f>INT(BX46)</f>
        <v>38</v>
      </c>
      <c r="BZ46">
        <f>BX46-BY46</f>
        <v>0.18181818181818699</v>
      </c>
      <c r="CA46" t="str">
        <f>MID(BZ46,1,4)</f>
        <v>0,18</v>
      </c>
      <c r="CB46">
        <f>BY46+CA46</f>
        <v>38.18</v>
      </c>
      <c r="CC46" t="s">
        <v>149</v>
      </c>
      <c r="CD46" t="s">
        <v>385</v>
      </c>
      <c r="CE46" t="str">
        <f>CB46&amp;CC46</f>
        <v>38,18%</v>
      </c>
      <c r="CF46" t="s">
        <v>386</v>
      </c>
      <c r="CG46" t="str">
        <f>BQ46&amp;BS46&amp;BT46&amp;BU46&amp;BV46&amp;CD46&amp;CE46</f>
        <v>Nombre de dossier modié=21 / 55=38,18%</v>
      </c>
    </row>
    <row r="47" spans="1:85" s="3" customFormat="1" ht="15" customHeight="1" x14ac:dyDescent="0.25">
      <c r="B47" s="356"/>
      <c r="C47" s="356"/>
      <c r="D47" s="88"/>
      <c r="G47" s="28"/>
      <c r="H47" s="32"/>
      <c r="I47" s="25" t="s">
        <v>3</v>
      </c>
      <c r="J47" s="26" t="str">
        <f>J31</f>
        <v>dos</v>
      </c>
      <c r="K47" s="26"/>
      <c r="L47" s="238" t="s">
        <v>377</v>
      </c>
      <c r="M47" s="27" t="s">
        <v>380</v>
      </c>
      <c r="N47" s="26" t="s">
        <v>382</v>
      </c>
      <c r="O47" s="26" t="s">
        <v>17</v>
      </c>
      <c r="P47" s="27" t="s">
        <v>361</v>
      </c>
      <c r="Q47" s="27" t="s">
        <v>97</v>
      </c>
      <c r="R47" s="153" t="s">
        <v>27</v>
      </c>
      <c r="S47" s="154" t="s">
        <v>104</v>
      </c>
      <c r="T47" s="237"/>
      <c r="U47" s="237"/>
      <c r="V47" s="28" t="s">
        <v>138</v>
      </c>
      <c r="W47" s="237"/>
      <c r="X47" s="155" t="s">
        <v>295</v>
      </c>
      <c r="Y47" s="155" t="s">
        <v>296</v>
      </c>
      <c r="Z47" s="233"/>
      <c r="AA47" s="32"/>
      <c r="AB47" s="28" t="s">
        <v>17</v>
      </c>
      <c r="AC47" s="28"/>
      <c r="AD47" s="28"/>
      <c r="AE47" s="152" t="str">
        <f>AE4</f>
        <v>1/2 D</v>
      </c>
      <c r="AF47" s="152"/>
      <c r="AG47" s="152"/>
      <c r="AH47" s="152"/>
      <c r="AJ47" s="141"/>
      <c r="AK47" s="141"/>
      <c r="AL47" s="148"/>
      <c r="AM47" s="142"/>
      <c r="AN47" s="170"/>
      <c r="AO47" s="141"/>
      <c r="AQ47" s="142"/>
      <c r="AR47" s="92"/>
      <c r="AS47" s="93"/>
      <c r="AT47" s="4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U47" s="64"/>
      <c r="CD47"/>
    </row>
    <row r="48" spans="1:85" ht="15" customHeight="1" x14ac:dyDescent="0.25">
      <c r="B48" s="356">
        <f t="shared" si="7"/>
        <v>0</v>
      </c>
      <c r="C48" s="356">
        <f t="shared" si="8"/>
        <v>1</v>
      </c>
      <c r="D48" s="88">
        <v>1</v>
      </c>
      <c r="E48" s="3"/>
      <c r="F48" s="3"/>
      <c r="G48" s="86"/>
      <c r="H48" s="272"/>
      <c r="I48" s="85" t="s">
        <v>29</v>
      </c>
      <c r="J48" s="86" t="s">
        <v>21</v>
      </c>
      <c r="K48" s="196"/>
      <c r="L48" s="68"/>
      <c r="M48" s="68"/>
      <c r="N48" s="68"/>
      <c r="O48" s="68"/>
      <c r="P48" s="73"/>
      <c r="Q48" s="73"/>
      <c r="R48" s="73">
        <v>5</v>
      </c>
      <c r="S48" s="77">
        <f t="shared" ref="S48:S57" si="31">IF(R48=0,"",P48/R48)</f>
        <v>0</v>
      </c>
      <c r="T48" s="48"/>
      <c r="U48" s="48"/>
      <c r="V48" s="73"/>
      <c r="W48" s="48"/>
      <c r="X48" s="142"/>
      <c r="Y48" s="142"/>
      <c r="Z48" s="142"/>
      <c r="AA48" s="32"/>
      <c r="AB48" s="73"/>
      <c r="AC48" s="73"/>
      <c r="AD48" s="73"/>
      <c r="AE48" s="73">
        <f>V48</f>
        <v>0</v>
      </c>
      <c r="AF48" s="73">
        <f t="shared" ref="AF48:AF54" si="32">AC48+AE48</f>
        <v>0</v>
      </c>
      <c r="AG48" s="73"/>
      <c r="AH48" s="73"/>
      <c r="AJ48" s="142"/>
      <c r="AK48" s="142"/>
      <c r="AL48" s="144"/>
      <c r="AM48" s="142">
        <f t="shared" ref="AM48:AM54" si="33">P48</f>
        <v>0</v>
      </c>
      <c r="AN48" s="170">
        <f t="shared" ref="AN48:AN54" si="34">X48</f>
        <v>0</v>
      </c>
      <c r="AO48" s="142">
        <f t="shared" ref="AO48:AO54" si="35">R48</f>
        <v>5</v>
      </c>
      <c r="AQ48" s="142">
        <f>X48</f>
        <v>0</v>
      </c>
      <c r="AR48" s="92">
        <f t="shared" ref="AR48:AR54" si="36">P48</f>
        <v>0</v>
      </c>
      <c r="AS48" s="93">
        <f t="shared" ref="AS48:AS54" si="37">R48</f>
        <v>5</v>
      </c>
      <c r="AT48" s="4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U48" s="64"/>
    </row>
    <row r="49" spans="2:73" ht="15" customHeight="1" x14ac:dyDescent="0.25">
      <c r="B49" s="356">
        <f t="shared" si="7"/>
        <v>0</v>
      </c>
      <c r="C49" s="356">
        <f t="shared" si="8"/>
        <v>1</v>
      </c>
      <c r="D49" s="88">
        <v>1</v>
      </c>
      <c r="E49" s="3"/>
      <c r="F49" s="3"/>
      <c r="G49" s="73"/>
      <c r="H49" s="32"/>
      <c r="I49" s="87" t="s">
        <v>405</v>
      </c>
      <c r="J49" s="68" t="s">
        <v>21</v>
      </c>
      <c r="K49" s="68"/>
      <c r="L49" s="68"/>
      <c r="M49" s="68"/>
      <c r="N49" s="68"/>
      <c r="O49" s="68">
        <v>7</v>
      </c>
      <c r="P49" s="73">
        <v>45</v>
      </c>
      <c r="Q49" s="73"/>
      <c r="R49" s="73">
        <v>15</v>
      </c>
      <c r="S49" s="77">
        <f t="shared" si="31"/>
        <v>3</v>
      </c>
      <c r="T49" s="48"/>
      <c r="U49" s="48"/>
      <c r="V49" s="73">
        <v>21</v>
      </c>
      <c r="W49" s="48"/>
      <c r="X49" s="142"/>
      <c r="Y49" s="142">
        <v>8</v>
      </c>
      <c r="Z49" s="142"/>
      <c r="AA49" s="32"/>
      <c r="AB49" s="73"/>
      <c r="AC49" s="73">
        <v>23</v>
      </c>
      <c r="AD49" s="73"/>
      <c r="AE49" s="73"/>
      <c r="AF49" s="73">
        <f t="shared" si="32"/>
        <v>23</v>
      </c>
      <c r="AG49" s="73"/>
      <c r="AH49" s="73"/>
      <c r="AJ49" s="142">
        <v>8</v>
      </c>
      <c r="AK49" s="142"/>
      <c r="AL49" s="144"/>
      <c r="AM49" s="142">
        <f t="shared" si="33"/>
        <v>45</v>
      </c>
      <c r="AN49" s="170">
        <f t="shared" si="34"/>
        <v>0</v>
      </c>
      <c r="AO49" s="142">
        <f t="shared" si="35"/>
        <v>15</v>
      </c>
      <c r="AQ49" s="142"/>
      <c r="AR49" s="92">
        <f t="shared" si="36"/>
        <v>45</v>
      </c>
      <c r="AS49" s="93">
        <f t="shared" si="37"/>
        <v>15</v>
      </c>
      <c r="AT49" s="4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>
        <v>2</v>
      </c>
      <c r="BQ49" t="s">
        <v>176</v>
      </c>
      <c r="BU49" s="64"/>
    </row>
    <row r="50" spans="2:73" ht="15" customHeight="1" x14ac:dyDescent="0.25">
      <c r="B50" s="356">
        <f t="shared" si="7"/>
        <v>0</v>
      </c>
      <c r="C50" s="356">
        <f t="shared" si="8"/>
        <v>0</v>
      </c>
      <c r="D50" s="88">
        <v>0</v>
      </c>
      <c r="E50" s="3"/>
      <c r="F50" s="3"/>
      <c r="G50" s="73"/>
      <c r="H50" s="32"/>
      <c r="I50" s="87" t="s">
        <v>33</v>
      </c>
      <c r="J50" s="68"/>
      <c r="K50" s="68"/>
      <c r="L50" s="68"/>
      <c r="M50" s="68"/>
      <c r="N50" s="68"/>
      <c r="O50" s="68"/>
      <c r="P50" s="73"/>
      <c r="Q50" s="73"/>
      <c r="R50" s="73">
        <v>12</v>
      </c>
      <c r="S50" s="77">
        <f t="shared" si="31"/>
        <v>0</v>
      </c>
      <c r="T50" s="48"/>
      <c r="U50" s="48"/>
      <c r="V50" s="73"/>
      <c r="W50" s="48"/>
      <c r="X50" s="142"/>
      <c r="Y50" s="142"/>
      <c r="Z50" s="142"/>
      <c r="AA50" s="32"/>
      <c r="AB50" s="73"/>
      <c r="AC50" s="73"/>
      <c r="AD50" s="73"/>
      <c r="AE50" s="73">
        <f t="shared" ref="AE50:AE77" si="38">V50</f>
        <v>0</v>
      </c>
      <c r="AF50" s="73">
        <f t="shared" si="32"/>
        <v>0</v>
      </c>
      <c r="AG50" s="73"/>
      <c r="AH50" s="73"/>
      <c r="AJ50" s="142"/>
      <c r="AK50" s="142"/>
      <c r="AL50" s="144"/>
      <c r="AM50" s="142">
        <f t="shared" si="33"/>
        <v>0</v>
      </c>
      <c r="AN50" s="170">
        <f t="shared" si="34"/>
        <v>0</v>
      </c>
      <c r="AO50" s="142">
        <f t="shared" si="35"/>
        <v>12</v>
      </c>
      <c r="AQ50" s="142"/>
      <c r="AR50" s="92">
        <f t="shared" si="36"/>
        <v>0</v>
      </c>
      <c r="AS50" s="93">
        <f t="shared" si="37"/>
        <v>12</v>
      </c>
      <c r="AT50" s="4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>
        <v>5</v>
      </c>
      <c r="BQ50" t="s">
        <v>177</v>
      </c>
      <c r="BU50" s="64"/>
    </row>
    <row r="51" spans="2:73" ht="15" customHeight="1" x14ac:dyDescent="0.25">
      <c r="B51" s="356">
        <f t="shared" si="7"/>
        <v>1</v>
      </c>
      <c r="C51" s="356">
        <f t="shared" si="8"/>
        <v>1</v>
      </c>
      <c r="D51" s="88">
        <v>1</v>
      </c>
      <c r="E51" s="3"/>
      <c r="F51" s="3"/>
      <c r="G51" s="73"/>
      <c r="H51" s="32"/>
      <c r="I51" s="87" t="s">
        <v>89</v>
      </c>
      <c r="J51" s="68">
        <v>1</v>
      </c>
      <c r="K51" s="68"/>
      <c r="L51" s="68"/>
      <c r="M51" s="68"/>
      <c r="N51" s="68"/>
      <c r="O51" s="68"/>
      <c r="P51" s="73">
        <v>21</v>
      </c>
      <c r="Q51" s="73"/>
      <c r="R51" s="73">
        <v>39</v>
      </c>
      <c r="S51" s="77">
        <f t="shared" si="31"/>
        <v>0.53846153846153844</v>
      </c>
      <c r="T51" s="48"/>
      <c r="U51" s="48"/>
      <c r="V51" s="73"/>
      <c r="W51" s="48"/>
      <c r="X51" s="142"/>
      <c r="Y51" s="142"/>
      <c r="Z51" s="142"/>
      <c r="AA51" s="32"/>
      <c r="AB51" s="73">
        <v>2</v>
      </c>
      <c r="AC51" s="73"/>
      <c r="AD51" s="73"/>
      <c r="AE51" s="73">
        <f t="shared" si="38"/>
        <v>0</v>
      </c>
      <c r="AF51" s="73">
        <f t="shared" si="32"/>
        <v>0</v>
      </c>
      <c r="AG51" s="73"/>
      <c r="AH51" s="73"/>
      <c r="AJ51" s="142"/>
      <c r="AK51" s="142"/>
      <c r="AL51" s="144"/>
      <c r="AM51" s="142">
        <f t="shared" si="33"/>
        <v>21</v>
      </c>
      <c r="AN51" s="170">
        <f t="shared" si="34"/>
        <v>0</v>
      </c>
      <c r="AO51" s="142">
        <f t="shared" si="35"/>
        <v>39</v>
      </c>
      <c r="AQ51" s="142"/>
      <c r="AR51" s="92">
        <f t="shared" si="36"/>
        <v>21</v>
      </c>
      <c r="AS51" s="93">
        <f t="shared" si="37"/>
        <v>39</v>
      </c>
      <c r="AT51" s="4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>
        <v>4</v>
      </c>
      <c r="BQ51" t="s">
        <v>178</v>
      </c>
      <c r="BU51" s="64"/>
    </row>
    <row r="52" spans="2:73" ht="15" customHeight="1" x14ac:dyDescent="0.25">
      <c r="B52" s="356">
        <f t="shared" si="7"/>
        <v>0</v>
      </c>
      <c r="C52" s="356">
        <f t="shared" si="8"/>
        <v>1</v>
      </c>
      <c r="D52" s="88">
        <f t="shared" ref="D52" si="39">D51</f>
        <v>1</v>
      </c>
      <c r="E52" s="3"/>
      <c r="F52" s="3"/>
      <c r="G52" s="86"/>
      <c r="H52" s="272"/>
      <c r="I52" s="87" t="s">
        <v>10</v>
      </c>
      <c r="J52" s="86" t="s">
        <v>21</v>
      </c>
      <c r="K52" s="196"/>
      <c r="L52" s="68"/>
      <c r="M52" s="68"/>
      <c r="N52" s="68"/>
      <c r="O52" s="68">
        <v>3</v>
      </c>
      <c r="P52" s="73">
        <v>7</v>
      </c>
      <c r="Q52" s="73"/>
      <c r="R52" s="73"/>
      <c r="S52" s="77" t="str">
        <f t="shared" si="31"/>
        <v/>
      </c>
      <c r="T52" s="48"/>
      <c r="U52" s="48"/>
      <c r="V52" s="73"/>
      <c r="W52" s="48"/>
      <c r="X52" s="142">
        <v>4</v>
      </c>
      <c r="Y52" s="142"/>
      <c r="Z52" s="142"/>
      <c r="AA52" s="32"/>
      <c r="AB52" s="73">
        <v>5</v>
      </c>
      <c r="AC52" s="73"/>
      <c r="AD52" s="73"/>
      <c r="AE52" s="73">
        <f t="shared" si="38"/>
        <v>0</v>
      </c>
      <c r="AF52" s="73">
        <f t="shared" si="32"/>
        <v>0</v>
      </c>
      <c r="AG52" s="73"/>
      <c r="AH52" s="73"/>
      <c r="AJ52" s="142"/>
      <c r="AK52" s="142"/>
      <c r="AL52" s="144"/>
      <c r="AM52" s="142">
        <f t="shared" si="33"/>
        <v>7</v>
      </c>
      <c r="AN52" s="170">
        <f t="shared" si="34"/>
        <v>4</v>
      </c>
      <c r="AO52" s="142">
        <f t="shared" si="35"/>
        <v>0</v>
      </c>
      <c r="AQ52" s="142"/>
      <c r="AR52" s="92">
        <f t="shared" si="36"/>
        <v>7</v>
      </c>
      <c r="AS52" s="93">
        <f t="shared" si="37"/>
        <v>0</v>
      </c>
      <c r="AT52" s="4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>
        <v>6</v>
      </c>
      <c r="BQ52" t="s">
        <v>179</v>
      </c>
      <c r="BU52" s="64"/>
    </row>
    <row r="53" spans="2:73" ht="15" customHeight="1" x14ac:dyDescent="0.25">
      <c r="B53" s="356">
        <f t="shared" si="7"/>
        <v>1</v>
      </c>
      <c r="C53" s="356">
        <f t="shared" si="8"/>
        <v>1</v>
      </c>
      <c r="D53" s="88">
        <v>1</v>
      </c>
      <c r="E53" s="3"/>
      <c r="F53" s="3"/>
      <c r="G53" s="73">
        <v>1</v>
      </c>
      <c r="H53" s="32"/>
      <c r="I53" s="87" t="s">
        <v>318</v>
      </c>
      <c r="J53" s="68">
        <v>1</v>
      </c>
      <c r="K53" s="68"/>
      <c r="L53" s="68">
        <v>1</v>
      </c>
      <c r="M53" s="68"/>
      <c r="N53" s="68">
        <v>1</v>
      </c>
      <c r="O53" s="68">
        <v>9</v>
      </c>
      <c r="P53" s="73">
        <v>29</v>
      </c>
      <c r="Q53" s="73"/>
      <c r="R53" s="73">
        <v>25</v>
      </c>
      <c r="S53" s="77">
        <f t="shared" si="31"/>
        <v>1.1599999999999999</v>
      </c>
      <c r="T53" s="48"/>
      <c r="U53" s="48"/>
      <c r="V53" s="73">
        <f>23-6</f>
        <v>17</v>
      </c>
      <c r="W53" s="48"/>
      <c r="X53" s="142"/>
      <c r="Y53" s="142">
        <v>39</v>
      </c>
      <c r="Z53" s="142"/>
      <c r="AA53" s="32"/>
      <c r="AB53" s="73">
        <v>9</v>
      </c>
      <c r="AC53" s="73"/>
      <c r="AD53" s="73"/>
      <c r="AE53" s="73">
        <f t="shared" si="38"/>
        <v>17</v>
      </c>
      <c r="AF53" s="73">
        <f t="shared" si="32"/>
        <v>17</v>
      </c>
      <c r="AG53" s="73"/>
      <c r="AH53" s="73"/>
      <c r="AJ53" s="142"/>
      <c r="AK53" s="142"/>
      <c r="AL53" s="144"/>
      <c r="AM53" s="142">
        <f t="shared" si="33"/>
        <v>29</v>
      </c>
      <c r="AN53" s="170">
        <f t="shared" si="34"/>
        <v>0</v>
      </c>
      <c r="AO53" s="142">
        <f t="shared" si="35"/>
        <v>25</v>
      </c>
      <c r="AQ53" s="142"/>
      <c r="AR53" s="92">
        <f t="shared" si="36"/>
        <v>29</v>
      </c>
      <c r="AS53" s="93">
        <f t="shared" si="37"/>
        <v>25</v>
      </c>
      <c r="AT53" s="4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>
        <v>6</v>
      </c>
      <c r="BQ53" t="s">
        <v>180</v>
      </c>
      <c r="BU53" s="64"/>
    </row>
    <row r="54" spans="2:73" ht="15" customHeight="1" x14ac:dyDescent="0.25">
      <c r="B54" s="356">
        <f t="shared" si="7"/>
        <v>0</v>
      </c>
      <c r="C54" s="356">
        <f t="shared" si="8"/>
        <v>1</v>
      </c>
      <c r="D54" s="88">
        <v>1</v>
      </c>
      <c r="E54" s="3"/>
      <c r="F54" s="3"/>
      <c r="G54" s="73">
        <v>1</v>
      </c>
      <c r="H54" s="32"/>
      <c r="I54" s="87" t="s">
        <v>476</v>
      </c>
      <c r="J54" s="68" t="s">
        <v>21</v>
      </c>
      <c r="K54" s="68"/>
      <c r="L54" s="68"/>
      <c r="M54" s="68"/>
      <c r="N54" s="68"/>
      <c r="O54" s="68">
        <v>3</v>
      </c>
      <c r="P54" s="73">
        <v>3</v>
      </c>
      <c r="Q54" s="73"/>
      <c r="R54" s="73">
        <v>9</v>
      </c>
      <c r="S54" s="77">
        <f t="shared" si="31"/>
        <v>0.33333333333333331</v>
      </c>
      <c r="T54" s="48"/>
      <c r="U54" s="48"/>
      <c r="V54" s="73">
        <v>1</v>
      </c>
      <c r="W54" s="48"/>
      <c r="X54" s="142"/>
      <c r="Y54" s="142"/>
      <c r="Z54" s="142"/>
      <c r="AA54" s="32"/>
      <c r="AB54" s="73">
        <v>0</v>
      </c>
      <c r="AC54" s="73"/>
      <c r="AD54" s="73"/>
      <c r="AE54" s="73">
        <f t="shared" si="38"/>
        <v>1</v>
      </c>
      <c r="AF54" s="73">
        <f t="shared" si="32"/>
        <v>1</v>
      </c>
      <c r="AG54" s="73"/>
      <c r="AH54" s="73"/>
      <c r="AJ54" s="142">
        <v>3</v>
      </c>
      <c r="AK54" s="142">
        <v>3</v>
      </c>
      <c r="AL54" s="144"/>
      <c r="AM54" s="142">
        <f t="shared" si="33"/>
        <v>3</v>
      </c>
      <c r="AN54" s="170">
        <f t="shared" si="34"/>
        <v>0</v>
      </c>
      <c r="AO54" s="142">
        <f t="shared" si="35"/>
        <v>9</v>
      </c>
      <c r="AQ54" s="142"/>
      <c r="AR54" s="92">
        <f t="shared" si="36"/>
        <v>3</v>
      </c>
      <c r="AS54" s="93">
        <f t="shared" si="37"/>
        <v>9</v>
      </c>
      <c r="AT54" s="4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>
        <v>2</v>
      </c>
      <c r="BQ54" t="s">
        <v>181</v>
      </c>
      <c r="BU54" s="64"/>
    </row>
    <row r="55" spans="2:73" ht="15" customHeight="1" x14ac:dyDescent="0.25">
      <c r="B55" s="356">
        <f t="shared" ref="B55" si="40">IF(J55=1,1,0)</f>
        <v>0</v>
      </c>
      <c r="C55" s="356">
        <f t="shared" ref="C55" si="41">IF(J55="x",1,B55)</f>
        <v>0</v>
      </c>
      <c r="D55" s="88">
        <v>2</v>
      </c>
      <c r="E55" s="3"/>
      <c r="F55" s="3"/>
      <c r="G55" s="73"/>
      <c r="H55" s="32"/>
      <c r="I55" s="87" t="s">
        <v>421</v>
      </c>
      <c r="J55" s="68"/>
      <c r="K55" s="68"/>
      <c r="L55" s="68"/>
      <c r="M55" s="68"/>
      <c r="N55" s="68"/>
      <c r="O55" s="68"/>
      <c r="P55" s="73"/>
      <c r="Q55" s="73"/>
      <c r="R55" s="73"/>
      <c r="S55" s="77"/>
      <c r="T55" s="48"/>
      <c r="U55" s="48"/>
      <c r="V55" s="73"/>
      <c r="W55" s="48"/>
      <c r="X55" s="142"/>
      <c r="Y55" s="142"/>
      <c r="Z55" s="142"/>
      <c r="AA55" s="32"/>
      <c r="AB55" s="73"/>
      <c r="AC55" s="73"/>
      <c r="AD55" s="73"/>
      <c r="AE55" s="73"/>
      <c r="AF55" s="73"/>
      <c r="AG55" s="73"/>
      <c r="AH55" s="73"/>
      <c r="AJ55" s="142"/>
      <c r="AK55" s="142"/>
      <c r="AL55" s="144"/>
      <c r="AM55" s="142"/>
      <c r="AN55" s="170"/>
      <c r="AO55" s="142"/>
      <c r="AQ55" s="142"/>
      <c r="AR55" s="92"/>
      <c r="AS55" s="93"/>
      <c r="AT55" s="310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U55" s="64"/>
    </row>
    <row r="56" spans="2:73" ht="15" customHeight="1" x14ac:dyDescent="0.25">
      <c r="B56" s="356">
        <f t="shared" si="7"/>
        <v>1</v>
      </c>
      <c r="C56" s="356">
        <f t="shared" si="8"/>
        <v>1</v>
      </c>
      <c r="D56" s="88">
        <f>D54</f>
        <v>1</v>
      </c>
      <c r="E56" s="3"/>
      <c r="F56" s="3"/>
      <c r="G56" s="73"/>
      <c r="H56" s="32"/>
      <c r="I56" s="87" t="s">
        <v>30</v>
      </c>
      <c r="J56" s="68">
        <v>1</v>
      </c>
      <c r="K56" s="68"/>
      <c r="L56" s="68"/>
      <c r="M56" s="68"/>
      <c r="N56" s="68"/>
      <c r="O56" s="68">
        <v>3</v>
      </c>
      <c r="P56" s="73">
        <v>12</v>
      </c>
      <c r="Q56" s="73"/>
      <c r="R56" s="73">
        <v>19</v>
      </c>
      <c r="S56" s="77">
        <f t="shared" si="31"/>
        <v>0.63157894736842102</v>
      </c>
      <c r="T56" s="48"/>
      <c r="U56" s="48"/>
      <c r="V56" s="73"/>
      <c r="W56" s="48"/>
      <c r="X56" s="142"/>
      <c r="Y56" s="142">
        <v>19</v>
      </c>
      <c r="Z56" s="142"/>
      <c r="AA56" s="32"/>
      <c r="AB56" s="73">
        <v>4</v>
      </c>
      <c r="AC56" s="73"/>
      <c r="AD56" s="73"/>
      <c r="AE56" s="73">
        <f t="shared" si="38"/>
        <v>0</v>
      </c>
      <c r="AF56" s="73">
        <f t="shared" ref="AF56:AF77" si="42">AC56+AE56</f>
        <v>0</v>
      </c>
      <c r="AG56" s="73"/>
      <c r="AH56" s="73"/>
      <c r="AJ56" s="142"/>
      <c r="AK56" s="142"/>
      <c r="AL56" s="144"/>
      <c r="AM56" s="142">
        <f t="shared" ref="AM56:AM67" si="43">P56</f>
        <v>12</v>
      </c>
      <c r="AN56" s="170">
        <f t="shared" ref="AN56:AN65" si="44">X56</f>
        <v>0</v>
      </c>
      <c r="AO56" s="142">
        <f t="shared" ref="AO56:AO67" si="45">R56</f>
        <v>19</v>
      </c>
      <c r="AQ56" s="142"/>
      <c r="AR56" s="92">
        <f t="shared" ref="AR56:AR67" si="46">P56</f>
        <v>12</v>
      </c>
      <c r="AS56" s="93">
        <f t="shared" ref="AS56:AS67" si="47">R56</f>
        <v>19</v>
      </c>
      <c r="AT56" s="4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>
        <v>2</v>
      </c>
      <c r="BQ56" t="s">
        <v>182</v>
      </c>
      <c r="BU56" s="64"/>
    </row>
    <row r="57" spans="2:73" ht="15" customHeight="1" x14ac:dyDescent="0.25">
      <c r="B57" s="356">
        <f t="shared" si="7"/>
        <v>0</v>
      </c>
      <c r="C57" s="356">
        <f t="shared" si="8"/>
        <v>1</v>
      </c>
      <c r="D57" s="88">
        <v>0</v>
      </c>
      <c r="E57" s="3"/>
      <c r="F57" s="3"/>
      <c r="G57" s="73"/>
      <c r="H57" s="32"/>
      <c r="I57" s="87" t="s">
        <v>362</v>
      </c>
      <c r="J57" s="68" t="s">
        <v>21</v>
      </c>
      <c r="K57" s="68"/>
      <c r="L57" s="68"/>
      <c r="M57" s="68"/>
      <c r="N57" s="68"/>
      <c r="O57" s="68"/>
      <c r="P57" s="73">
        <v>9</v>
      </c>
      <c r="Q57" s="73"/>
      <c r="R57" s="73">
        <v>35</v>
      </c>
      <c r="S57" s="77">
        <f t="shared" si="31"/>
        <v>0.25714285714285712</v>
      </c>
      <c r="T57" s="48"/>
      <c r="U57" s="48"/>
      <c r="V57" s="73"/>
      <c r="W57" s="48"/>
      <c r="X57" s="142"/>
      <c r="Y57" s="142">
        <v>35</v>
      </c>
      <c r="Z57" s="142"/>
      <c r="AA57" s="32"/>
      <c r="AB57" s="73">
        <v>9</v>
      </c>
      <c r="AC57" s="73"/>
      <c r="AD57" s="73"/>
      <c r="AE57" s="73">
        <f t="shared" si="38"/>
        <v>0</v>
      </c>
      <c r="AF57" s="73">
        <f t="shared" si="42"/>
        <v>0</v>
      </c>
      <c r="AG57" s="73"/>
      <c r="AH57" s="73"/>
      <c r="AJ57" s="142"/>
      <c r="AK57" s="142"/>
      <c r="AL57" s="144"/>
      <c r="AM57" s="142">
        <f t="shared" si="43"/>
        <v>9</v>
      </c>
      <c r="AN57" s="170">
        <f t="shared" si="44"/>
        <v>0</v>
      </c>
      <c r="AO57" s="142">
        <f t="shared" si="45"/>
        <v>35</v>
      </c>
      <c r="AQ57" s="142"/>
      <c r="AR57" s="92">
        <f t="shared" si="46"/>
        <v>9</v>
      </c>
      <c r="AS57" s="93">
        <f t="shared" si="47"/>
        <v>35</v>
      </c>
      <c r="AT57" s="4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>
        <v>6</v>
      </c>
      <c r="BQ57" t="s">
        <v>183</v>
      </c>
      <c r="BU57" s="64"/>
    </row>
    <row r="58" spans="2:73" ht="15" customHeight="1" x14ac:dyDescent="0.25">
      <c r="B58" s="356">
        <f t="shared" si="7"/>
        <v>0</v>
      </c>
      <c r="C58" s="356">
        <f t="shared" si="8"/>
        <v>1</v>
      </c>
      <c r="D58" s="88">
        <v>0</v>
      </c>
      <c r="E58" s="3"/>
      <c r="F58" s="3"/>
      <c r="G58" s="73"/>
      <c r="H58" s="32"/>
      <c r="I58" s="87" t="s">
        <v>18</v>
      </c>
      <c r="J58" s="68" t="s">
        <v>21</v>
      </c>
      <c r="K58" s="68"/>
      <c r="L58" s="68"/>
      <c r="M58" s="68"/>
      <c r="N58" s="68"/>
      <c r="O58" s="68">
        <v>1</v>
      </c>
      <c r="P58" s="73">
        <v>1</v>
      </c>
      <c r="Q58" s="73"/>
      <c r="R58" s="73">
        <v>4</v>
      </c>
      <c r="S58" s="77">
        <f>O58/R58</f>
        <v>0.25</v>
      </c>
      <c r="T58" s="48"/>
      <c r="U58" s="48"/>
      <c r="V58" s="73"/>
      <c r="W58" s="48"/>
      <c r="X58" s="142"/>
      <c r="Y58" s="142"/>
      <c r="Z58" s="142"/>
      <c r="AA58" s="32"/>
      <c r="AB58" s="73">
        <v>1</v>
      </c>
      <c r="AC58" s="73"/>
      <c r="AD58" s="73"/>
      <c r="AE58" s="73">
        <f t="shared" si="38"/>
        <v>0</v>
      </c>
      <c r="AF58" s="73">
        <f t="shared" si="42"/>
        <v>0</v>
      </c>
      <c r="AG58" s="73"/>
      <c r="AH58" s="73"/>
      <c r="AJ58" s="142"/>
      <c r="AK58" s="142"/>
      <c r="AL58" s="144"/>
      <c r="AM58" s="142">
        <f t="shared" si="43"/>
        <v>1</v>
      </c>
      <c r="AN58" s="170">
        <f t="shared" si="44"/>
        <v>0</v>
      </c>
      <c r="AO58" s="142">
        <f t="shared" si="45"/>
        <v>4</v>
      </c>
      <c r="AQ58" s="142"/>
      <c r="AR58" s="92">
        <f t="shared" si="46"/>
        <v>1</v>
      </c>
      <c r="AS58" s="93">
        <f t="shared" si="47"/>
        <v>4</v>
      </c>
      <c r="AT58" s="4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>
        <v>6</v>
      </c>
      <c r="BQ58" t="s">
        <v>184</v>
      </c>
      <c r="BU58" s="64"/>
    </row>
    <row r="59" spans="2:73" ht="15" customHeight="1" x14ac:dyDescent="0.25">
      <c r="B59" s="356">
        <f t="shared" si="7"/>
        <v>1</v>
      </c>
      <c r="C59" s="356">
        <f t="shared" si="8"/>
        <v>1</v>
      </c>
      <c r="D59" s="88">
        <v>1</v>
      </c>
      <c r="E59" s="3"/>
      <c r="F59" s="3"/>
      <c r="G59" s="73"/>
      <c r="H59" s="32"/>
      <c r="I59" s="87" t="s">
        <v>357</v>
      </c>
      <c r="J59" s="68">
        <v>1</v>
      </c>
      <c r="K59" s="68"/>
      <c r="L59" s="68"/>
      <c r="M59" s="68"/>
      <c r="N59" s="68"/>
      <c r="O59" s="68"/>
      <c r="P59" s="73">
        <v>16</v>
      </c>
      <c r="Q59" s="73"/>
      <c r="R59" s="73">
        <v>16</v>
      </c>
      <c r="S59" s="77">
        <f t="shared" ref="S59:S65" si="48">IF(R59=0,"",P59/R59)</f>
        <v>1</v>
      </c>
      <c r="T59" s="48"/>
      <c r="U59" s="48"/>
      <c r="V59" s="73">
        <v>1</v>
      </c>
      <c r="W59" s="48"/>
      <c r="X59" s="142"/>
      <c r="Y59" s="142"/>
      <c r="Z59" s="142"/>
      <c r="AA59" s="32"/>
      <c r="AB59" s="73"/>
      <c r="AC59" s="73"/>
      <c r="AD59" s="73"/>
      <c r="AE59" s="73">
        <f t="shared" si="38"/>
        <v>1</v>
      </c>
      <c r="AF59" s="73">
        <f t="shared" si="42"/>
        <v>1</v>
      </c>
      <c r="AG59" s="73"/>
      <c r="AH59" s="73"/>
      <c r="AJ59" s="142"/>
      <c r="AK59" s="142"/>
      <c r="AL59" s="144"/>
      <c r="AM59" s="142">
        <f t="shared" si="43"/>
        <v>16</v>
      </c>
      <c r="AN59" s="170">
        <f t="shared" si="44"/>
        <v>0</v>
      </c>
      <c r="AO59" s="142">
        <f t="shared" si="45"/>
        <v>16</v>
      </c>
      <c r="AQ59" s="142"/>
      <c r="AR59" s="92">
        <f t="shared" si="46"/>
        <v>16</v>
      </c>
      <c r="AS59" s="93">
        <f t="shared" si="47"/>
        <v>16</v>
      </c>
      <c r="AT59" s="4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>
        <f>SUM(BP49:BP58)</f>
        <v>39</v>
      </c>
      <c r="BQ59">
        <v>44</v>
      </c>
      <c r="BU59" s="64"/>
    </row>
    <row r="60" spans="2:73" ht="15" customHeight="1" x14ac:dyDescent="0.25">
      <c r="B60" s="356">
        <f t="shared" si="7"/>
        <v>0</v>
      </c>
      <c r="C60" s="356">
        <f t="shared" si="8"/>
        <v>1</v>
      </c>
      <c r="D60" s="88">
        <v>0</v>
      </c>
      <c r="E60" s="3"/>
      <c r="F60" s="3"/>
      <c r="G60" s="73">
        <v>1</v>
      </c>
      <c r="H60" s="32"/>
      <c r="I60" s="87" t="s">
        <v>358</v>
      </c>
      <c r="J60" s="68" t="s">
        <v>21</v>
      </c>
      <c r="K60" s="68"/>
      <c r="L60" s="68"/>
      <c r="M60" s="68">
        <v>1</v>
      </c>
      <c r="N60" s="68">
        <v>1</v>
      </c>
      <c r="O60" s="68">
        <v>11</v>
      </c>
      <c r="P60" s="73">
        <v>104</v>
      </c>
      <c r="Q60" s="73">
        <v>134</v>
      </c>
      <c r="R60" s="73">
        <v>53</v>
      </c>
      <c r="S60" s="77">
        <f t="shared" si="48"/>
        <v>1.9622641509433962</v>
      </c>
      <c r="T60" s="48"/>
      <c r="U60" s="48"/>
      <c r="V60" s="73">
        <v>6</v>
      </c>
      <c r="W60" s="48"/>
      <c r="X60" s="142"/>
      <c r="Y60" s="142"/>
      <c r="Z60" s="142"/>
      <c r="AA60" s="32"/>
      <c r="AB60" s="73">
        <v>23</v>
      </c>
      <c r="AC60" s="73"/>
      <c r="AD60" s="73"/>
      <c r="AE60" s="73">
        <f t="shared" si="38"/>
        <v>6</v>
      </c>
      <c r="AF60" s="73">
        <f t="shared" si="42"/>
        <v>6</v>
      </c>
      <c r="AG60" s="73"/>
      <c r="AH60" s="73"/>
      <c r="AJ60" s="142"/>
      <c r="AK60" s="142"/>
      <c r="AL60" s="144"/>
      <c r="AM60" s="142">
        <f t="shared" si="43"/>
        <v>104</v>
      </c>
      <c r="AN60" s="170">
        <f t="shared" si="44"/>
        <v>0</v>
      </c>
      <c r="AO60" s="142">
        <f t="shared" si="45"/>
        <v>53</v>
      </c>
      <c r="AQ60" s="142"/>
      <c r="AR60" s="92">
        <f t="shared" si="46"/>
        <v>104</v>
      </c>
      <c r="AS60" s="93">
        <f t="shared" si="47"/>
        <v>53</v>
      </c>
      <c r="AT60" s="4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U60" s="64"/>
    </row>
    <row r="61" spans="2:73" ht="15" customHeight="1" x14ac:dyDescent="0.25">
      <c r="B61" s="356">
        <f t="shared" si="7"/>
        <v>0</v>
      </c>
      <c r="C61" s="356">
        <f t="shared" si="8"/>
        <v>0</v>
      </c>
      <c r="D61" s="88">
        <v>0</v>
      </c>
      <c r="E61" s="3"/>
      <c r="F61" s="3"/>
      <c r="G61" s="73"/>
      <c r="H61" s="32"/>
      <c r="I61" s="87" t="s">
        <v>35</v>
      </c>
      <c r="J61" s="68"/>
      <c r="K61" s="68"/>
      <c r="L61" s="68"/>
      <c r="M61" s="68"/>
      <c r="N61" s="68"/>
      <c r="O61" s="68"/>
      <c r="P61" s="73"/>
      <c r="Q61" s="73"/>
      <c r="R61" s="73">
        <v>30</v>
      </c>
      <c r="S61" s="77">
        <f t="shared" si="48"/>
        <v>0</v>
      </c>
      <c r="T61" s="48"/>
      <c r="U61" s="48"/>
      <c r="V61" s="73"/>
      <c r="W61" s="48"/>
      <c r="X61" s="142"/>
      <c r="Y61" s="142"/>
      <c r="Z61" s="142"/>
      <c r="AA61" s="32"/>
      <c r="AB61" s="73"/>
      <c r="AC61" s="73"/>
      <c r="AD61" s="73"/>
      <c r="AE61" s="73">
        <f t="shared" si="38"/>
        <v>0</v>
      </c>
      <c r="AF61" s="73">
        <f t="shared" si="42"/>
        <v>0</v>
      </c>
      <c r="AG61" s="73"/>
      <c r="AH61" s="73"/>
      <c r="AJ61" s="142"/>
      <c r="AK61" s="142"/>
      <c r="AL61" s="144"/>
      <c r="AM61" s="142">
        <f t="shared" si="43"/>
        <v>0</v>
      </c>
      <c r="AN61" s="170">
        <f t="shared" si="44"/>
        <v>0</v>
      </c>
      <c r="AO61" s="142">
        <f t="shared" si="45"/>
        <v>30</v>
      </c>
      <c r="AQ61" s="142"/>
      <c r="AR61" s="92">
        <f t="shared" si="46"/>
        <v>0</v>
      </c>
      <c r="AS61" s="93">
        <f t="shared" si="47"/>
        <v>30</v>
      </c>
      <c r="AT61" s="4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U61" s="64"/>
    </row>
    <row r="62" spans="2:73" ht="15" customHeight="1" x14ac:dyDescent="0.25">
      <c r="B62" s="356">
        <f t="shared" si="7"/>
        <v>0</v>
      </c>
      <c r="C62" s="356">
        <f t="shared" si="8"/>
        <v>0</v>
      </c>
      <c r="D62" s="88">
        <v>1</v>
      </c>
      <c r="E62" s="3"/>
      <c r="F62" s="3"/>
      <c r="G62" s="73"/>
      <c r="H62" s="32"/>
      <c r="I62" s="87" t="s">
        <v>100</v>
      </c>
      <c r="J62" s="68"/>
      <c r="K62" s="68"/>
      <c r="L62" s="68"/>
      <c r="M62" s="68"/>
      <c r="N62" s="68"/>
      <c r="O62" s="68"/>
      <c r="P62" s="73"/>
      <c r="Q62" s="73"/>
      <c r="R62" s="73"/>
      <c r="S62" s="77" t="str">
        <f t="shared" si="48"/>
        <v/>
      </c>
      <c r="T62" s="48"/>
      <c r="U62" s="48"/>
      <c r="V62" s="73"/>
      <c r="W62" s="48"/>
      <c r="X62" s="142"/>
      <c r="Y62" s="142"/>
      <c r="Z62" s="142"/>
      <c r="AA62" s="32"/>
      <c r="AB62" s="73"/>
      <c r="AC62" s="73"/>
      <c r="AD62" s="73"/>
      <c r="AE62" s="73">
        <f t="shared" si="38"/>
        <v>0</v>
      </c>
      <c r="AF62" s="73">
        <f t="shared" si="42"/>
        <v>0</v>
      </c>
      <c r="AG62" s="73"/>
      <c r="AH62" s="73"/>
      <c r="AJ62" s="142"/>
      <c r="AK62" s="142"/>
      <c r="AL62" s="144"/>
      <c r="AM62" s="142">
        <f t="shared" si="43"/>
        <v>0</v>
      </c>
      <c r="AN62" s="170">
        <f t="shared" si="44"/>
        <v>0</v>
      </c>
      <c r="AO62" s="142">
        <f t="shared" si="45"/>
        <v>0</v>
      </c>
      <c r="AQ62" s="142"/>
      <c r="AR62" s="92">
        <f t="shared" si="46"/>
        <v>0</v>
      </c>
      <c r="AS62" s="93">
        <f t="shared" si="47"/>
        <v>0</v>
      </c>
      <c r="AT62" s="4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U62" s="64"/>
    </row>
    <row r="63" spans="2:73" ht="15" customHeight="1" x14ac:dyDescent="0.25">
      <c r="B63" s="356">
        <f t="shared" si="7"/>
        <v>0</v>
      </c>
      <c r="C63" s="356">
        <f t="shared" si="8"/>
        <v>0</v>
      </c>
      <c r="D63" s="88">
        <v>1</v>
      </c>
      <c r="E63" s="3"/>
      <c r="F63" s="3"/>
      <c r="G63" s="73"/>
      <c r="H63" s="32"/>
      <c r="I63" s="87" t="s">
        <v>101</v>
      </c>
      <c r="J63" s="68"/>
      <c r="K63" s="68"/>
      <c r="L63" s="68"/>
      <c r="M63" s="68"/>
      <c r="N63" s="68"/>
      <c r="O63" s="68"/>
      <c r="P63" s="73"/>
      <c r="Q63" s="73"/>
      <c r="R63" s="73"/>
      <c r="S63" s="77" t="str">
        <f t="shared" si="48"/>
        <v/>
      </c>
      <c r="T63" s="48"/>
      <c r="U63" s="48"/>
      <c r="V63" s="73"/>
      <c r="W63" s="48"/>
      <c r="X63" s="142"/>
      <c r="Y63" s="142"/>
      <c r="Z63" s="142"/>
      <c r="AA63" s="32"/>
      <c r="AB63" s="73"/>
      <c r="AC63" s="73"/>
      <c r="AD63" s="73"/>
      <c r="AE63" s="73">
        <f t="shared" si="38"/>
        <v>0</v>
      </c>
      <c r="AF63" s="73">
        <f t="shared" si="42"/>
        <v>0</v>
      </c>
      <c r="AG63" s="73"/>
      <c r="AH63" s="73"/>
      <c r="AJ63" s="142"/>
      <c r="AK63" s="142"/>
      <c r="AL63" s="144"/>
      <c r="AM63" s="142">
        <f t="shared" si="43"/>
        <v>0</v>
      </c>
      <c r="AN63" s="170">
        <f t="shared" si="44"/>
        <v>0</v>
      </c>
      <c r="AO63" s="142">
        <f t="shared" si="45"/>
        <v>0</v>
      </c>
      <c r="AQ63" s="142"/>
      <c r="AR63" s="92">
        <f t="shared" si="46"/>
        <v>0</v>
      </c>
      <c r="AS63" s="93">
        <f t="shared" si="47"/>
        <v>0</v>
      </c>
      <c r="AT63" s="4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U63" s="64"/>
    </row>
    <row r="64" spans="2:73" ht="15" customHeight="1" x14ac:dyDescent="0.25">
      <c r="B64" s="356">
        <f t="shared" si="7"/>
        <v>0</v>
      </c>
      <c r="C64" s="356">
        <f t="shared" si="8"/>
        <v>0</v>
      </c>
      <c r="D64" s="88">
        <v>1</v>
      </c>
      <c r="G64" s="73"/>
      <c r="H64" s="32"/>
      <c r="I64" s="87" t="s">
        <v>298</v>
      </c>
      <c r="J64" s="68"/>
      <c r="K64" s="68"/>
      <c r="L64" s="68"/>
      <c r="M64" s="68"/>
      <c r="N64" s="68"/>
      <c r="O64" s="68"/>
      <c r="P64" s="73"/>
      <c r="Q64" s="73"/>
      <c r="R64" s="73">
        <v>28</v>
      </c>
      <c r="S64" s="77">
        <f t="shared" si="48"/>
        <v>0</v>
      </c>
      <c r="T64" s="48"/>
      <c r="U64" s="48"/>
      <c r="V64" s="73"/>
      <c r="W64" s="48"/>
      <c r="X64" s="142"/>
      <c r="Y64" s="142"/>
      <c r="Z64" s="142"/>
      <c r="AA64" s="32"/>
      <c r="AB64" s="73"/>
      <c r="AC64" s="73"/>
      <c r="AD64" s="73"/>
      <c r="AE64" s="73">
        <f t="shared" si="38"/>
        <v>0</v>
      </c>
      <c r="AF64" s="73">
        <f t="shared" si="42"/>
        <v>0</v>
      </c>
      <c r="AG64" s="73"/>
      <c r="AH64" s="73"/>
      <c r="AJ64" s="142"/>
      <c r="AK64" s="142"/>
      <c r="AL64" s="144"/>
      <c r="AM64" s="142">
        <f t="shared" si="43"/>
        <v>0</v>
      </c>
      <c r="AN64" s="170">
        <f t="shared" si="44"/>
        <v>0</v>
      </c>
      <c r="AO64" s="142">
        <f t="shared" si="45"/>
        <v>28</v>
      </c>
      <c r="AQ64" s="142"/>
      <c r="AR64" s="92">
        <f t="shared" si="46"/>
        <v>0</v>
      </c>
      <c r="AS64" s="93">
        <f t="shared" si="47"/>
        <v>28</v>
      </c>
      <c r="AT64" s="4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U64" s="64"/>
    </row>
    <row r="65" spans="1:85" ht="15" customHeight="1" x14ac:dyDescent="0.25">
      <c r="B65" s="356">
        <f t="shared" si="7"/>
        <v>0</v>
      </c>
      <c r="C65" s="356">
        <f t="shared" si="8"/>
        <v>0</v>
      </c>
      <c r="D65" s="88"/>
      <c r="G65" s="73"/>
      <c r="H65" s="32"/>
      <c r="I65" s="87" t="s">
        <v>299</v>
      </c>
      <c r="J65" s="68"/>
      <c r="K65" s="68"/>
      <c r="L65" s="68"/>
      <c r="M65" s="68"/>
      <c r="N65" s="68"/>
      <c r="O65" s="68"/>
      <c r="P65" s="73">
        <v>4</v>
      </c>
      <c r="Q65" s="73"/>
      <c r="R65" s="73">
        <v>8</v>
      </c>
      <c r="S65" s="77">
        <f t="shared" si="48"/>
        <v>0.5</v>
      </c>
      <c r="T65" s="48"/>
      <c r="U65" s="48"/>
      <c r="V65" s="73"/>
      <c r="W65" s="48"/>
      <c r="X65" s="142"/>
      <c r="Y65" s="142"/>
      <c r="Z65" s="142"/>
      <c r="AA65" s="32"/>
      <c r="AB65" s="73">
        <v>2</v>
      </c>
      <c r="AC65" s="73"/>
      <c r="AD65" s="73"/>
      <c r="AE65" s="73">
        <f t="shared" si="38"/>
        <v>0</v>
      </c>
      <c r="AF65" s="73">
        <f t="shared" si="42"/>
        <v>0</v>
      </c>
      <c r="AG65" s="73"/>
      <c r="AH65" s="73"/>
      <c r="AJ65" s="142">
        <v>4</v>
      </c>
      <c r="AK65" s="142"/>
      <c r="AL65" s="144"/>
      <c r="AM65" s="142">
        <f t="shared" si="43"/>
        <v>4</v>
      </c>
      <c r="AN65" s="170">
        <f t="shared" si="44"/>
        <v>0</v>
      </c>
      <c r="AO65" s="142">
        <f t="shared" si="45"/>
        <v>8</v>
      </c>
      <c r="AQ65" s="142"/>
      <c r="AR65" s="92">
        <f t="shared" si="46"/>
        <v>4</v>
      </c>
      <c r="AS65" s="93">
        <f t="shared" si="47"/>
        <v>8</v>
      </c>
      <c r="AT65" s="4">
        <f>SUM(AR48:AR65)</f>
        <v>251</v>
      </c>
      <c r="AU65" s="72">
        <f>SUM(AS48:AS65)</f>
        <v>298</v>
      </c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U65" s="64"/>
    </row>
    <row r="66" spans="1:85" ht="15" customHeight="1" x14ac:dyDescent="0.25">
      <c r="B66" s="356">
        <f t="shared" si="7"/>
        <v>0</v>
      </c>
      <c r="C66" s="356">
        <f t="shared" si="8"/>
        <v>0</v>
      </c>
      <c r="D66" s="88">
        <v>0</v>
      </c>
      <c r="G66" s="83"/>
      <c r="H66" s="32"/>
      <c r="I66" s="135" t="s">
        <v>102</v>
      </c>
      <c r="J66" s="136"/>
      <c r="K66" s="136"/>
      <c r="L66" s="136"/>
      <c r="M66" s="136"/>
      <c r="N66" s="136"/>
      <c r="O66" s="136"/>
      <c r="P66" s="83"/>
      <c r="Q66" s="83"/>
      <c r="R66" s="83">
        <v>35</v>
      </c>
      <c r="S66" s="84"/>
      <c r="T66" s="48"/>
      <c r="U66" s="48"/>
      <c r="V66" s="83"/>
      <c r="W66" s="48"/>
      <c r="X66" s="142">
        <f>R66*R67</f>
        <v>1190</v>
      </c>
      <c r="Y66" s="142"/>
      <c r="Z66" s="142"/>
      <c r="AA66" s="32"/>
      <c r="AB66" s="83"/>
      <c r="AC66" s="83"/>
      <c r="AD66" s="83"/>
      <c r="AE66" s="83">
        <f t="shared" si="38"/>
        <v>0</v>
      </c>
      <c r="AF66" s="83">
        <f t="shared" si="42"/>
        <v>0</v>
      </c>
      <c r="AG66" s="83"/>
      <c r="AH66" s="83"/>
      <c r="AJ66" s="142"/>
      <c r="AK66" s="142"/>
      <c r="AL66" s="144"/>
      <c r="AM66" s="142">
        <f t="shared" si="43"/>
        <v>0</v>
      </c>
      <c r="AN66" s="170">
        <v>0</v>
      </c>
      <c r="AO66" s="142">
        <f t="shared" si="45"/>
        <v>35</v>
      </c>
      <c r="AQ66" s="142">
        <f>X66</f>
        <v>1190</v>
      </c>
      <c r="AR66" s="223">
        <f t="shared" si="46"/>
        <v>0</v>
      </c>
      <c r="AS66" s="177">
        <f t="shared" si="47"/>
        <v>35</v>
      </c>
      <c r="AT66" s="4">
        <f>AT65+AT44</f>
        <v>724</v>
      </c>
      <c r="AU66" s="72">
        <f>AU65+AU44</f>
        <v>758</v>
      </c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U66" s="64"/>
    </row>
    <row r="67" spans="1:85" ht="15" customHeight="1" x14ac:dyDescent="0.25">
      <c r="B67" s="356">
        <f t="shared" si="7"/>
        <v>1</v>
      </c>
      <c r="C67" s="356">
        <f t="shared" si="8"/>
        <v>1</v>
      </c>
      <c r="D67" s="88">
        <v>1</v>
      </c>
      <c r="G67" s="73">
        <v>1</v>
      </c>
      <c r="H67" s="32"/>
      <c r="I67" s="87" t="s">
        <v>359</v>
      </c>
      <c r="J67" s="68">
        <v>1</v>
      </c>
      <c r="K67" s="68">
        <v>5</v>
      </c>
      <c r="L67" s="68"/>
      <c r="M67" s="68"/>
      <c r="N67" s="68"/>
      <c r="O67" s="68">
        <v>2</v>
      </c>
      <c r="P67" s="73">
        <v>36</v>
      </c>
      <c r="Q67" s="73"/>
      <c r="R67" s="73">
        <f>P67-O67</f>
        <v>34</v>
      </c>
      <c r="S67" s="77">
        <f t="shared" ref="S67:S76" si="49">IF(R67=0,"",P67/R67)</f>
        <v>1.0588235294117647</v>
      </c>
      <c r="T67" s="48"/>
      <c r="U67" s="48"/>
      <c r="V67" s="73">
        <v>1</v>
      </c>
      <c r="W67" s="48"/>
      <c r="X67" s="139">
        <v>20</v>
      </c>
      <c r="Y67" s="139"/>
      <c r="Z67" s="139"/>
      <c r="AA67" s="32"/>
      <c r="AB67" s="73">
        <v>2</v>
      </c>
      <c r="AC67" s="73"/>
      <c r="AD67" s="73"/>
      <c r="AE67" s="73">
        <f t="shared" si="38"/>
        <v>1</v>
      </c>
      <c r="AF67" s="73">
        <f t="shared" si="42"/>
        <v>1</v>
      </c>
      <c r="AG67" s="73"/>
      <c r="AH67" s="73"/>
      <c r="AJ67" s="142">
        <f>R67</f>
        <v>34</v>
      </c>
      <c r="AK67" s="142">
        <v>2</v>
      </c>
      <c r="AL67" s="144"/>
      <c r="AM67" s="142">
        <f t="shared" si="43"/>
        <v>36</v>
      </c>
      <c r="AN67" s="170">
        <f>X67</f>
        <v>20</v>
      </c>
      <c r="AO67" s="142">
        <f t="shared" si="45"/>
        <v>34</v>
      </c>
      <c r="AQ67" s="142">
        <f>X67</f>
        <v>20</v>
      </c>
      <c r="AR67" s="92">
        <f t="shared" si="46"/>
        <v>36</v>
      </c>
      <c r="AS67" s="93">
        <f t="shared" si="47"/>
        <v>34</v>
      </c>
      <c r="AT67" s="4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U67" s="64"/>
    </row>
    <row r="68" spans="1:85" ht="15" customHeight="1" x14ac:dyDescent="0.25">
      <c r="B68" s="356">
        <v>0</v>
      </c>
      <c r="C68" s="356">
        <v>0</v>
      </c>
      <c r="D68" s="356">
        <v>0</v>
      </c>
      <c r="G68" s="73"/>
      <c r="H68" s="32"/>
      <c r="I68" s="87" t="s">
        <v>467</v>
      </c>
      <c r="J68" s="68" t="s">
        <v>21</v>
      </c>
      <c r="K68" s="68"/>
      <c r="L68" s="68"/>
      <c r="M68" s="68"/>
      <c r="N68" s="68"/>
      <c r="O68" s="68"/>
      <c r="P68" s="73"/>
      <c r="Q68" s="73"/>
      <c r="R68" s="73"/>
      <c r="S68" s="77"/>
      <c r="T68" s="48"/>
      <c r="U68" s="48"/>
      <c r="V68" s="73"/>
      <c r="W68" s="48"/>
      <c r="X68" s="139"/>
      <c r="Y68" s="139"/>
      <c r="Z68" s="139"/>
      <c r="AA68" s="32"/>
      <c r="AB68" s="73"/>
      <c r="AC68" s="73"/>
      <c r="AD68" s="73"/>
      <c r="AE68" s="73"/>
      <c r="AF68" s="73"/>
      <c r="AG68" s="73"/>
      <c r="AH68" s="73"/>
      <c r="AJ68" s="142"/>
      <c r="AK68" s="142"/>
      <c r="AL68" s="144"/>
      <c r="AM68" s="142"/>
      <c r="AN68" s="170"/>
      <c r="AO68" s="142"/>
      <c r="AQ68" s="142"/>
      <c r="AR68" s="92"/>
      <c r="AS68" s="93"/>
      <c r="AT68" s="350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U68" s="64"/>
    </row>
    <row r="69" spans="1:85" ht="15" customHeight="1" x14ac:dyDescent="0.25">
      <c r="B69" s="356">
        <v>0</v>
      </c>
      <c r="C69" s="356">
        <v>0</v>
      </c>
      <c r="D69" s="356">
        <v>0</v>
      </c>
      <c r="G69" s="73"/>
      <c r="H69" s="32"/>
      <c r="I69" s="87" t="s">
        <v>468</v>
      </c>
      <c r="J69" s="68" t="s">
        <v>21</v>
      </c>
      <c r="K69" s="68"/>
      <c r="L69" s="68"/>
      <c r="M69" s="68"/>
      <c r="N69" s="68"/>
      <c r="O69" s="68"/>
      <c r="P69" s="73"/>
      <c r="Q69" s="73"/>
      <c r="R69" s="73"/>
      <c r="S69" s="77"/>
      <c r="T69" s="48"/>
      <c r="U69" s="48"/>
      <c r="V69" s="73"/>
      <c r="W69" s="48"/>
      <c r="X69" s="139"/>
      <c r="Y69" s="139"/>
      <c r="Z69" s="139"/>
      <c r="AA69" s="32"/>
      <c r="AB69" s="73">
        <v>1</v>
      </c>
      <c r="AC69" s="73"/>
      <c r="AD69" s="73"/>
      <c r="AE69" s="73"/>
      <c r="AF69" s="73"/>
      <c r="AG69" s="73"/>
      <c r="AH69" s="73"/>
      <c r="AJ69" s="142"/>
      <c r="AK69" s="142"/>
      <c r="AL69" s="144"/>
      <c r="AM69" s="142"/>
      <c r="AN69" s="170"/>
      <c r="AO69" s="142"/>
      <c r="AQ69" s="142"/>
      <c r="AR69" s="92"/>
      <c r="AS69" s="93"/>
      <c r="AT69" s="350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U69" s="64"/>
    </row>
    <row r="70" spans="1:85" ht="15" customHeight="1" x14ac:dyDescent="0.25">
      <c r="B70" s="356">
        <v>0</v>
      </c>
      <c r="C70" s="356">
        <v>0</v>
      </c>
      <c r="D70" s="356">
        <v>0</v>
      </c>
      <c r="G70" s="73"/>
      <c r="H70" s="32"/>
      <c r="I70" s="87" t="s">
        <v>469</v>
      </c>
      <c r="J70" s="68" t="s">
        <v>21</v>
      </c>
      <c r="K70" s="68"/>
      <c r="L70" s="68"/>
      <c r="M70" s="68"/>
      <c r="N70" s="68"/>
      <c r="O70" s="68"/>
      <c r="P70" s="73"/>
      <c r="Q70" s="73"/>
      <c r="R70" s="73"/>
      <c r="S70" s="77"/>
      <c r="T70" s="48"/>
      <c r="U70" s="48"/>
      <c r="V70" s="73"/>
      <c r="W70" s="48"/>
      <c r="X70" s="139"/>
      <c r="Y70" s="139"/>
      <c r="Z70" s="139"/>
      <c r="AA70" s="32"/>
      <c r="AB70" s="73">
        <v>1</v>
      </c>
      <c r="AC70" s="73"/>
      <c r="AD70" s="73"/>
      <c r="AE70" s="73"/>
      <c r="AF70" s="73"/>
      <c r="AG70" s="73"/>
      <c r="AH70" s="73"/>
      <c r="AJ70" s="142"/>
      <c r="AK70" s="142"/>
      <c r="AL70" s="144"/>
      <c r="AM70" s="142"/>
      <c r="AN70" s="170"/>
      <c r="AO70" s="142"/>
      <c r="AQ70" s="142"/>
      <c r="AR70" s="92"/>
      <c r="AS70" s="93"/>
      <c r="AT70" s="350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U70" s="64"/>
    </row>
    <row r="71" spans="1:85" ht="15" customHeight="1" x14ac:dyDescent="0.25">
      <c r="B71" s="356">
        <f t="shared" si="7"/>
        <v>0</v>
      </c>
      <c r="C71" s="356">
        <f t="shared" si="8"/>
        <v>0</v>
      </c>
      <c r="D71" s="88">
        <f>D67</f>
        <v>1</v>
      </c>
      <c r="G71" s="73"/>
      <c r="H71" s="32"/>
      <c r="I71" s="87" t="s">
        <v>131</v>
      </c>
      <c r="J71" s="68"/>
      <c r="K71" s="68"/>
      <c r="L71" s="68"/>
      <c r="M71" s="68"/>
      <c r="N71" s="68"/>
      <c r="O71" s="68"/>
      <c r="P71" s="73"/>
      <c r="Q71" s="73"/>
      <c r="R71" s="73"/>
      <c r="S71" s="77" t="str">
        <f t="shared" si="49"/>
        <v/>
      </c>
      <c r="T71" s="48"/>
      <c r="U71" s="48"/>
      <c r="V71" s="73"/>
      <c r="W71" s="48"/>
      <c r="X71" s="142"/>
      <c r="Y71" s="142"/>
      <c r="Z71" s="142"/>
      <c r="AA71" s="32"/>
      <c r="AB71" s="73"/>
      <c r="AC71" s="73"/>
      <c r="AD71" s="73"/>
      <c r="AE71" s="73">
        <f t="shared" si="38"/>
        <v>0</v>
      </c>
      <c r="AF71" s="73">
        <f t="shared" si="42"/>
        <v>0</v>
      </c>
      <c r="AG71" s="73"/>
      <c r="AH71" s="73"/>
      <c r="AJ71" s="142"/>
      <c r="AK71" s="142"/>
      <c r="AL71" s="144"/>
      <c r="AM71" s="142">
        <f t="shared" ref="AM71:AM77" si="50">P71</f>
        <v>0</v>
      </c>
      <c r="AN71" s="170">
        <f t="shared" ref="AN71:AN77" si="51">X71</f>
        <v>0</v>
      </c>
      <c r="AO71" s="142">
        <f t="shared" ref="AO71:AO77" si="52">R71</f>
        <v>0</v>
      </c>
      <c r="AQ71" s="142"/>
      <c r="AR71" s="92">
        <f t="shared" ref="AR71:AR76" si="53">P71</f>
        <v>0</v>
      </c>
      <c r="AS71" s="93">
        <f t="shared" ref="AS71:AS76" si="54">R71</f>
        <v>0</v>
      </c>
      <c r="AT71" s="4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U71" s="64"/>
    </row>
    <row r="72" spans="1:85" ht="15" customHeight="1" x14ac:dyDescent="0.25">
      <c r="B72" s="356">
        <f t="shared" si="7"/>
        <v>0</v>
      </c>
      <c r="C72" s="356">
        <f t="shared" si="8"/>
        <v>0</v>
      </c>
      <c r="D72" s="88">
        <f t="shared" ref="D72:D76" si="55">D71</f>
        <v>1</v>
      </c>
      <c r="G72" s="73"/>
      <c r="H72" s="32"/>
      <c r="I72" s="87" t="s">
        <v>132</v>
      </c>
      <c r="J72" s="68"/>
      <c r="K72" s="68"/>
      <c r="L72" s="68"/>
      <c r="M72" s="68"/>
      <c r="N72" s="68"/>
      <c r="O72" s="68"/>
      <c r="P72" s="73"/>
      <c r="Q72" s="73"/>
      <c r="R72" s="73"/>
      <c r="S72" s="77" t="str">
        <f t="shared" si="49"/>
        <v/>
      </c>
      <c r="T72" s="48"/>
      <c r="U72" s="48"/>
      <c r="V72" s="73"/>
      <c r="W72" s="48"/>
      <c r="X72" s="142"/>
      <c r="Y72" s="142"/>
      <c r="Z72" s="142"/>
      <c r="AA72" s="32"/>
      <c r="AB72" s="73"/>
      <c r="AC72" s="73"/>
      <c r="AD72" s="73"/>
      <c r="AE72" s="73">
        <f t="shared" si="38"/>
        <v>0</v>
      </c>
      <c r="AF72" s="73">
        <f t="shared" si="42"/>
        <v>0</v>
      </c>
      <c r="AG72" s="73"/>
      <c r="AH72" s="73"/>
      <c r="AJ72" s="142"/>
      <c r="AK72" s="142"/>
      <c r="AL72" s="144"/>
      <c r="AM72" s="142">
        <f t="shared" si="50"/>
        <v>0</v>
      </c>
      <c r="AN72" s="170">
        <f t="shared" si="51"/>
        <v>0</v>
      </c>
      <c r="AO72" s="142">
        <f t="shared" si="52"/>
        <v>0</v>
      </c>
      <c r="AQ72" s="142"/>
      <c r="AR72" s="92">
        <f t="shared" si="53"/>
        <v>0</v>
      </c>
      <c r="AS72" s="93">
        <f t="shared" si="54"/>
        <v>0</v>
      </c>
      <c r="AT72" s="4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U72" s="64"/>
    </row>
    <row r="73" spans="1:85" ht="15" customHeight="1" x14ac:dyDescent="0.25">
      <c r="B73" s="356">
        <f t="shared" si="7"/>
        <v>0</v>
      </c>
      <c r="C73" s="356">
        <f t="shared" si="8"/>
        <v>0</v>
      </c>
      <c r="D73" s="88">
        <f t="shared" si="55"/>
        <v>1</v>
      </c>
      <c r="G73" s="73"/>
      <c r="H73" s="32"/>
      <c r="I73" s="87" t="s">
        <v>133</v>
      </c>
      <c r="J73" s="68"/>
      <c r="K73" s="68">
        <v>2</v>
      </c>
      <c r="L73" s="68"/>
      <c r="M73" s="68"/>
      <c r="N73" s="68"/>
      <c r="O73" s="68">
        <v>3</v>
      </c>
      <c r="P73" s="73"/>
      <c r="Q73" s="73"/>
      <c r="R73" s="73"/>
      <c r="S73" s="77" t="str">
        <f t="shared" si="49"/>
        <v/>
      </c>
      <c r="T73" s="48"/>
      <c r="U73" s="48"/>
      <c r="V73" s="73">
        <v>3</v>
      </c>
      <c r="W73" s="48"/>
      <c r="X73" s="142"/>
      <c r="Y73" s="142"/>
      <c r="Z73" s="142"/>
      <c r="AA73" s="32"/>
      <c r="AB73" s="73"/>
      <c r="AC73" s="73"/>
      <c r="AD73" s="73"/>
      <c r="AE73" s="73">
        <f t="shared" si="38"/>
        <v>3</v>
      </c>
      <c r="AF73" s="73">
        <f t="shared" si="42"/>
        <v>3</v>
      </c>
      <c r="AG73" s="73"/>
      <c r="AH73" s="73"/>
      <c r="AJ73" s="142"/>
      <c r="AK73" s="142"/>
      <c r="AL73" s="144"/>
      <c r="AM73" s="142">
        <f t="shared" si="50"/>
        <v>0</v>
      </c>
      <c r="AN73" s="170">
        <f t="shared" si="51"/>
        <v>0</v>
      </c>
      <c r="AO73" s="142">
        <f t="shared" si="52"/>
        <v>0</v>
      </c>
      <c r="AQ73" s="142"/>
      <c r="AR73" s="92">
        <f t="shared" si="53"/>
        <v>0</v>
      </c>
      <c r="AS73" s="93">
        <f t="shared" si="54"/>
        <v>0</v>
      </c>
      <c r="AT73" s="4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U73" s="64"/>
    </row>
    <row r="74" spans="1:85" ht="15" customHeight="1" x14ac:dyDescent="0.25">
      <c r="B74" s="356">
        <f t="shared" si="7"/>
        <v>0</v>
      </c>
      <c r="C74" s="356">
        <f t="shared" si="8"/>
        <v>0</v>
      </c>
      <c r="D74" s="88">
        <f t="shared" si="55"/>
        <v>1</v>
      </c>
      <c r="G74" s="73"/>
      <c r="H74" s="32"/>
      <c r="I74" s="87" t="s">
        <v>134</v>
      </c>
      <c r="J74" s="68"/>
      <c r="K74" s="68">
        <v>3</v>
      </c>
      <c r="L74" s="68"/>
      <c r="M74" s="68"/>
      <c r="N74" s="68"/>
      <c r="O74" s="68"/>
      <c r="P74" s="73">
        <v>39</v>
      </c>
      <c r="Q74" s="73"/>
      <c r="R74" s="73">
        <v>36</v>
      </c>
      <c r="S74" s="77">
        <f t="shared" si="49"/>
        <v>1.0833333333333333</v>
      </c>
      <c r="T74" s="48"/>
      <c r="U74" s="48"/>
      <c r="V74" s="73"/>
      <c r="W74" s="48"/>
      <c r="X74" s="142">
        <f>(13*3)-(3*3)</f>
        <v>30</v>
      </c>
      <c r="Y74" s="142"/>
      <c r="Z74" s="142"/>
      <c r="AA74" s="32"/>
      <c r="AB74" s="73"/>
      <c r="AC74" s="73"/>
      <c r="AD74" s="73"/>
      <c r="AE74" s="73">
        <f t="shared" si="38"/>
        <v>0</v>
      </c>
      <c r="AF74" s="73">
        <f t="shared" si="42"/>
        <v>0</v>
      </c>
      <c r="AG74" s="73"/>
      <c r="AH74" s="73"/>
      <c r="AJ74" s="142"/>
      <c r="AK74" s="142"/>
      <c r="AL74" s="144"/>
      <c r="AM74" s="142">
        <f t="shared" si="50"/>
        <v>39</v>
      </c>
      <c r="AN74" s="170">
        <f t="shared" si="51"/>
        <v>30</v>
      </c>
      <c r="AO74" s="142">
        <f t="shared" si="52"/>
        <v>36</v>
      </c>
      <c r="AQ74" s="142"/>
      <c r="AR74" s="92">
        <f t="shared" si="53"/>
        <v>39</v>
      </c>
      <c r="AS74" s="93">
        <f t="shared" si="54"/>
        <v>36</v>
      </c>
      <c r="AT74" s="4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U74" s="64"/>
    </row>
    <row r="75" spans="1:85" ht="15" customHeight="1" x14ac:dyDescent="0.25">
      <c r="B75" s="356">
        <f t="shared" si="7"/>
        <v>0</v>
      </c>
      <c r="C75" s="356">
        <f t="shared" ref="C75:C88" si="56">IF(J75="x",1,B75)</f>
        <v>0</v>
      </c>
      <c r="D75" s="88">
        <f t="shared" si="55"/>
        <v>1</v>
      </c>
      <c r="G75" s="73"/>
      <c r="H75" s="32"/>
      <c r="I75" s="87" t="s">
        <v>135</v>
      </c>
      <c r="J75" s="68"/>
      <c r="K75" s="68"/>
      <c r="L75" s="68"/>
      <c r="M75" s="68"/>
      <c r="N75" s="68"/>
      <c r="O75" s="68">
        <v>1</v>
      </c>
      <c r="P75" s="73"/>
      <c r="Q75" s="73"/>
      <c r="R75" s="73"/>
      <c r="S75" s="77" t="str">
        <f t="shared" si="49"/>
        <v/>
      </c>
      <c r="T75" s="48"/>
      <c r="U75" s="48"/>
      <c r="V75" s="73"/>
      <c r="W75" s="48"/>
      <c r="X75" s="142"/>
      <c r="Y75" s="142"/>
      <c r="Z75" s="142"/>
      <c r="AA75" s="32"/>
      <c r="AB75" s="73">
        <v>2</v>
      </c>
      <c r="AC75" s="73"/>
      <c r="AD75" s="73"/>
      <c r="AE75" s="73">
        <f t="shared" si="38"/>
        <v>0</v>
      </c>
      <c r="AF75" s="73">
        <f t="shared" si="42"/>
        <v>0</v>
      </c>
      <c r="AG75" s="73"/>
      <c r="AH75" s="73"/>
      <c r="AJ75" s="142"/>
      <c r="AK75" s="142"/>
      <c r="AL75" s="144"/>
      <c r="AM75" s="142">
        <f t="shared" si="50"/>
        <v>0</v>
      </c>
      <c r="AN75" s="170">
        <f t="shared" si="51"/>
        <v>0</v>
      </c>
      <c r="AO75" s="142">
        <f t="shared" si="52"/>
        <v>0</v>
      </c>
      <c r="AQ75" s="142"/>
      <c r="AR75" s="92">
        <f t="shared" si="53"/>
        <v>0</v>
      </c>
      <c r="AS75" s="93">
        <f t="shared" si="54"/>
        <v>0</v>
      </c>
      <c r="AT75" s="4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U75" s="64"/>
    </row>
    <row r="76" spans="1:85" ht="15" customHeight="1" x14ac:dyDescent="0.25">
      <c r="B76" s="356">
        <f t="shared" si="7"/>
        <v>0</v>
      </c>
      <c r="C76" s="356">
        <f t="shared" si="56"/>
        <v>1</v>
      </c>
      <c r="D76" s="88">
        <f t="shared" si="55"/>
        <v>1</v>
      </c>
      <c r="G76" s="73"/>
      <c r="H76" s="32"/>
      <c r="I76" s="87" t="s">
        <v>136</v>
      </c>
      <c r="J76" s="68" t="s">
        <v>21</v>
      </c>
      <c r="K76" s="68"/>
      <c r="L76" s="68"/>
      <c r="M76" s="68"/>
      <c r="N76" s="68"/>
      <c r="O76" s="68">
        <v>2</v>
      </c>
      <c r="P76" s="73">
        <v>16</v>
      </c>
      <c r="Q76" s="73">
        <v>-21</v>
      </c>
      <c r="R76" s="73">
        <v>33</v>
      </c>
      <c r="S76" s="77">
        <f t="shared" si="49"/>
        <v>0.48484848484848486</v>
      </c>
      <c r="T76" s="48"/>
      <c r="U76" s="48"/>
      <c r="V76" s="73"/>
      <c r="W76" s="48"/>
      <c r="X76" s="142"/>
      <c r="Y76" s="142"/>
      <c r="Z76" s="142"/>
      <c r="AA76" s="32"/>
      <c r="AB76" s="73">
        <v>2</v>
      </c>
      <c r="AC76" s="73"/>
      <c r="AD76" s="73"/>
      <c r="AE76" s="73">
        <f t="shared" si="38"/>
        <v>0</v>
      </c>
      <c r="AF76" s="73">
        <f t="shared" si="42"/>
        <v>0</v>
      </c>
      <c r="AG76" s="73"/>
      <c r="AH76" s="73"/>
      <c r="AJ76" s="142"/>
      <c r="AK76" s="142"/>
      <c r="AL76" s="144"/>
      <c r="AM76" s="142">
        <f t="shared" si="50"/>
        <v>16</v>
      </c>
      <c r="AN76" s="170">
        <f t="shared" si="51"/>
        <v>0</v>
      </c>
      <c r="AO76" s="142">
        <f t="shared" si="52"/>
        <v>33</v>
      </c>
      <c r="AQ76" s="142"/>
      <c r="AR76" s="92">
        <f t="shared" si="53"/>
        <v>16</v>
      </c>
      <c r="AS76" s="93">
        <f t="shared" si="54"/>
        <v>33</v>
      </c>
      <c r="AT76" s="4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U76" s="64"/>
    </row>
    <row r="77" spans="1:85" ht="15" customHeight="1" x14ac:dyDescent="0.25">
      <c r="B77" s="356">
        <f t="shared" ref="B77" si="57">IF(J77=1,1,0)</f>
        <v>0</v>
      </c>
      <c r="C77" s="356">
        <f t="shared" si="56"/>
        <v>0</v>
      </c>
      <c r="D77" s="88">
        <v>1</v>
      </c>
      <c r="G77" s="73"/>
      <c r="H77" s="32"/>
      <c r="I77" s="87" t="s">
        <v>356</v>
      </c>
      <c r="J77" s="68"/>
      <c r="K77" s="68"/>
      <c r="L77" s="68"/>
      <c r="M77" s="68"/>
      <c r="N77" s="68"/>
      <c r="O77" s="68"/>
      <c r="P77" s="73"/>
      <c r="Q77" s="73"/>
      <c r="R77" s="73"/>
      <c r="S77" s="77"/>
      <c r="T77" s="48"/>
      <c r="U77" s="48"/>
      <c r="V77" s="73"/>
      <c r="W77" s="48"/>
      <c r="X77" s="142"/>
      <c r="Y77" s="142"/>
      <c r="Z77" s="142"/>
      <c r="AA77" s="32"/>
      <c r="AB77" s="73"/>
      <c r="AC77" s="73"/>
      <c r="AD77" s="73"/>
      <c r="AE77" s="73">
        <f t="shared" si="38"/>
        <v>0</v>
      </c>
      <c r="AF77" s="73">
        <f t="shared" si="42"/>
        <v>0</v>
      </c>
      <c r="AG77" s="73"/>
      <c r="AH77" s="73"/>
      <c r="AJ77" s="143"/>
      <c r="AK77" s="143"/>
      <c r="AL77" s="144"/>
      <c r="AM77" s="142">
        <f t="shared" si="50"/>
        <v>0</v>
      </c>
      <c r="AN77" s="170">
        <f t="shared" si="51"/>
        <v>0</v>
      </c>
      <c r="AO77" s="142">
        <f t="shared" si="52"/>
        <v>0</v>
      </c>
      <c r="AQ77" s="142"/>
      <c r="AR77" s="92"/>
      <c r="AS77" s="93"/>
      <c r="AT77" s="4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U77" s="64"/>
    </row>
    <row r="78" spans="1:85" ht="15" customHeight="1" x14ac:dyDescent="0.25">
      <c r="A78" s="211"/>
      <c r="B78" s="355">
        <f t="shared" ref="B78:C78" si="58">SUM(B46:B77)</f>
        <v>5</v>
      </c>
      <c r="C78" s="355">
        <f t="shared" si="58"/>
        <v>13</v>
      </c>
      <c r="D78" s="355">
        <f>SUM(D46:D77)</f>
        <v>21</v>
      </c>
      <c r="G78" s="28">
        <f>SUM(G48:G76)</f>
        <v>4</v>
      </c>
      <c r="H78" s="32"/>
      <c r="I78" s="25" t="str">
        <f>CG78</f>
        <v>nombre de dossiers = 5 / 21 = 23,8%</v>
      </c>
      <c r="J78" s="80">
        <f>B78</f>
        <v>5</v>
      </c>
      <c r="K78" s="80">
        <f>SUM(K66:K77)</f>
        <v>10</v>
      </c>
      <c r="L78" s="26">
        <f>SUM(L48:L76)</f>
        <v>1</v>
      </c>
      <c r="M78" s="26">
        <f>SUM(M48:M76)</f>
        <v>1</v>
      </c>
      <c r="N78" s="26">
        <f>SUM(N48:N76)</f>
        <v>2</v>
      </c>
      <c r="O78" s="263">
        <f>SUM(O48:O77)</f>
        <v>45</v>
      </c>
      <c r="P78" s="263">
        <f>P79-AN78</f>
        <v>288</v>
      </c>
      <c r="Q78" s="263">
        <f>SUM(Q48:Q76)</f>
        <v>113</v>
      </c>
      <c r="R78" s="263">
        <f>AO79</f>
        <v>382</v>
      </c>
      <c r="S78" s="81">
        <f>P78/R78</f>
        <v>0.75392670157068065</v>
      </c>
      <c r="T78" s="48"/>
      <c r="U78" s="48"/>
      <c r="V78" s="28">
        <f>SUM(V48:V76)</f>
        <v>50</v>
      </c>
      <c r="W78" s="48"/>
      <c r="X78" s="156">
        <f>AN78</f>
        <v>54</v>
      </c>
      <c r="Y78" s="156">
        <f>SUM(Y48:Y76)</f>
        <v>101</v>
      </c>
      <c r="Z78" s="252"/>
      <c r="AA78" s="42"/>
      <c r="AB78" s="156">
        <f>SUM(AB48:AB77)</f>
        <v>63</v>
      </c>
      <c r="AC78" s="156">
        <f>SUM(AC48:AC77)</f>
        <v>23</v>
      </c>
      <c r="AD78" s="156"/>
      <c r="AE78" s="156">
        <f>SUM(AE48:AE77)</f>
        <v>29</v>
      </c>
      <c r="AF78" s="156">
        <f>SUM(AF48:AF77)</f>
        <v>52</v>
      </c>
      <c r="AG78" s="156"/>
      <c r="AH78" s="156"/>
      <c r="AJ78" s="153">
        <f>SUM(AJ48:AJ76)</f>
        <v>49</v>
      </c>
      <c r="AK78" s="153">
        <f>SUM(AK48:AK76)</f>
        <v>5</v>
      </c>
      <c r="AL78" s="32"/>
      <c r="AM78" s="152">
        <f>SUM(AM48:AM77)</f>
        <v>342</v>
      </c>
      <c r="AN78" s="172">
        <f>SUM(AN48:AN77)</f>
        <v>54</v>
      </c>
      <c r="AO78" s="152">
        <f>SUM(AO48:AO77)</f>
        <v>436</v>
      </c>
      <c r="AQ78" s="28">
        <f>SUM(AQ48:AQ76)</f>
        <v>1210</v>
      </c>
      <c r="AR78" s="92"/>
      <c r="AS78" s="93"/>
      <c r="AT78" s="4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Q78" s="5" t="s">
        <v>363</v>
      </c>
      <c r="BR78" s="5"/>
      <c r="BS78" s="5" t="s">
        <v>147</v>
      </c>
      <c r="BT78" s="63">
        <f>B78</f>
        <v>5</v>
      </c>
      <c r="BU78" s="64" t="s">
        <v>95</v>
      </c>
      <c r="BV78">
        <f>D79</f>
        <v>21</v>
      </c>
      <c r="BW78" s="65">
        <f>BT78/BV78</f>
        <v>0.23809523809523808</v>
      </c>
      <c r="BX78">
        <f>BW78*100</f>
        <v>23.809523809523807</v>
      </c>
      <c r="BY78">
        <f>INT(BX78)</f>
        <v>23</v>
      </c>
      <c r="BZ78">
        <f>BX78-BY78</f>
        <v>0.80952380952380665</v>
      </c>
      <c r="CA78" t="str">
        <f>MID(BZ78,1,4)</f>
        <v>0,80</v>
      </c>
      <c r="CB78">
        <f>BY78+CA78</f>
        <v>23.8</v>
      </c>
      <c r="CC78" t="s">
        <v>149</v>
      </c>
      <c r="CD78" t="str">
        <f>BS78</f>
        <v xml:space="preserve"> = </v>
      </c>
      <c r="CE78" t="str">
        <f>CB78&amp;CC78</f>
        <v>23,8%</v>
      </c>
      <c r="CG78" t="str">
        <f>BQ78&amp;BS78&amp;BT78&amp;BU78&amp;BV78&amp;CD78&amp;CE78</f>
        <v>nombre de dossiers = 5 / 21 = 23,8%</v>
      </c>
    </row>
    <row r="79" spans="1:85" x14ac:dyDescent="0.25">
      <c r="C79" s="356">
        <f t="shared" si="56"/>
        <v>0</v>
      </c>
      <c r="D79" s="88">
        <f>D78</f>
        <v>21</v>
      </c>
      <c r="G79" s="73"/>
      <c r="H79" s="32"/>
      <c r="I79" s="82" t="s">
        <v>353</v>
      </c>
      <c r="J79" s="32"/>
      <c r="K79" s="32"/>
      <c r="L79" s="32"/>
      <c r="M79" s="32"/>
      <c r="N79" s="32"/>
      <c r="O79" s="32"/>
      <c r="P79" s="32">
        <f>AM78</f>
        <v>342</v>
      </c>
      <c r="Q79" s="32"/>
      <c r="R79" s="32">
        <f>AO78</f>
        <v>436</v>
      </c>
      <c r="S79" s="48">
        <f>P79/R79</f>
        <v>0.7844036697247706</v>
      </c>
      <c r="T79" s="48"/>
      <c r="U79" s="48"/>
      <c r="V79" s="32"/>
      <c r="W79" s="48"/>
      <c r="X79" s="144"/>
      <c r="Y79" s="144">
        <f>Y78+X78</f>
        <v>155</v>
      </c>
      <c r="Z79" s="144"/>
      <c r="AA79" s="32"/>
      <c r="AB79" s="38"/>
      <c r="AC79" s="32"/>
      <c r="AD79" s="32"/>
      <c r="AE79" s="144"/>
      <c r="AF79" s="144"/>
      <c r="AG79" s="144"/>
      <c r="AH79" s="144"/>
      <c r="AJ79" s="199"/>
      <c r="AK79" s="143"/>
      <c r="AL79" s="144"/>
      <c r="AM79" s="207">
        <f>AM78-AN78</f>
        <v>288</v>
      </c>
      <c r="AN79" s="202"/>
      <c r="AO79" s="201">
        <f>AO78-AN78</f>
        <v>382</v>
      </c>
      <c r="AQ79" s="143"/>
      <c r="AR79" s="112"/>
      <c r="AS79" s="178"/>
      <c r="AT79" s="4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Q79" t="str">
        <f>I47</f>
        <v>Analyse</v>
      </c>
      <c r="BS79" t="str">
        <f>BS29</f>
        <v xml:space="preserve"> ( </v>
      </c>
      <c r="BT79" s="63">
        <f>BT78</f>
        <v>5</v>
      </c>
      <c r="BU79" s="64" t="s">
        <v>95</v>
      </c>
      <c r="BV79">
        <f>BV78</f>
        <v>21</v>
      </c>
      <c r="BW79" t="s">
        <v>154</v>
      </c>
      <c r="BX79">
        <f>BT79/BV79</f>
        <v>0.23809523809523808</v>
      </c>
      <c r="BY79">
        <f>INT(BX79)</f>
        <v>0</v>
      </c>
      <c r="BZ79">
        <f>BX79-BY79</f>
        <v>0.23809523809523808</v>
      </c>
      <c r="CA79" t="str">
        <f>MID(BZ79,1,4)</f>
        <v>0,23</v>
      </c>
      <c r="CB79">
        <f>CB78</f>
        <v>23.8</v>
      </c>
      <c r="CC79" t="str">
        <f>CC78</f>
        <v>%</v>
      </c>
      <c r="CD79" t="str">
        <f>CD78</f>
        <v xml:space="preserve"> = </v>
      </c>
      <c r="CE79" t="str">
        <f>CB79&amp;CC79</f>
        <v>23,8%</v>
      </c>
      <c r="CF79" t="str">
        <f>CF29</f>
        <v xml:space="preserve"> ) </v>
      </c>
      <c r="CG79" t="str">
        <f>BQ79&amp;BS79&amp;BT79&amp;BW79&amp;BU79&amp;BV79&amp;CD79&amp;CE79&amp;CF79</f>
        <v xml:space="preserve">Analyse ( 5 dossiers / 21 = 23,8% ) </v>
      </c>
    </row>
    <row r="80" spans="1:85" ht="15.75" thickBot="1" x14ac:dyDescent="0.3">
      <c r="D80" s="88"/>
      <c r="G80" s="73"/>
      <c r="H80" s="32"/>
      <c r="I80" s="82"/>
      <c r="J80" s="32"/>
      <c r="K80" s="32"/>
      <c r="L80" s="32"/>
      <c r="M80" s="32"/>
      <c r="N80" s="32"/>
      <c r="O80" s="32"/>
      <c r="P80" s="32"/>
      <c r="Q80" s="32"/>
      <c r="R80" s="32"/>
      <c r="S80" s="48"/>
      <c r="T80" s="48"/>
      <c r="U80" s="48"/>
      <c r="V80" s="32"/>
      <c r="W80" s="48"/>
      <c r="X80" s="144"/>
      <c r="Y80" s="144"/>
      <c r="Z80" s="144"/>
      <c r="AA80" s="32"/>
      <c r="AB80" s="32"/>
      <c r="AC80" s="32"/>
      <c r="AD80" s="32"/>
      <c r="AE80" s="144"/>
      <c r="AF80" s="144"/>
      <c r="AG80" s="144"/>
      <c r="AH80" s="144"/>
      <c r="AJ80" s="144"/>
      <c r="AK80" s="144"/>
      <c r="AL80" s="144"/>
      <c r="AM80" s="191"/>
      <c r="AN80" s="191"/>
      <c r="AO80" s="191"/>
      <c r="AQ80" s="144"/>
      <c r="AR80" s="253"/>
      <c r="AS80" s="253"/>
      <c r="AT80" s="253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T80" s="63"/>
      <c r="BU80" s="64"/>
    </row>
    <row r="81" spans="1:94" s="3" customFormat="1" ht="15.75" thickBot="1" x14ac:dyDescent="0.3">
      <c r="B81" s="353"/>
      <c r="C81" s="356">
        <f t="shared" si="56"/>
        <v>0</v>
      </c>
      <c r="D81" s="42"/>
      <c r="G81" s="28"/>
      <c r="H81" s="32"/>
      <c r="I81" s="440" t="s">
        <v>42</v>
      </c>
      <c r="J81" s="440">
        <f>J61</f>
        <v>0</v>
      </c>
      <c r="K81" s="441"/>
      <c r="L81" s="442" t="s">
        <v>98</v>
      </c>
      <c r="M81" s="442"/>
      <c r="N81" s="443"/>
      <c r="O81" s="441" t="s">
        <v>17</v>
      </c>
      <c r="P81" s="444" t="s">
        <v>361</v>
      </c>
      <c r="Q81" s="443" t="s">
        <v>97</v>
      </c>
      <c r="R81" s="445" t="s">
        <v>27</v>
      </c>
      <c r="S81" s="446" t="s">
        <v>104</v>
      </c>
      <c r="T81" s="48"/>
      <c r="U81" s="48"/>
      <c r="V81" s="28" t="s">
        <v>138</v>
      </c>
      <c r="W81" s="48"/>
      <c r="X81" s="152" t="s">
        <v>295</v>
      </c>
      <c r="Y81" s="152" t="s">
        <v>296</v>
      </c>
      <c r="Z81" s="152"/>
      <c r="AA81" s="144"/>
      <c r="AB81" s="28" t="s">
        <v>17</v>
      </c>
      <c r="AC81" s="28"/>
      <c r="AD81" s="28"/>
      <c r="AE81" s="28" t="str">
        <f>AE4</f>
        <v>1/2 D</v>
      </c>
      <c r="AF81" s="152"/>
      <c r="AG81" s="28"/>
      <c r="AH81" s="28"/>
      <c r="AJ81" s="144"/>
      <c r="AK81" s="144"/>
      <c r="AL81" s="144"/>
      <c r="AM81" s="191"/>
      <c r="AN81" s="191"/>
      <c r="AO81" s="191"/>
      <c r="AQ81" s="144"/>
      <c r="AR81" s="4"/>
      <c r="AS81" s="4"/>
      <c r="AT81" s="4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Q81" s="3" t="str">
        <f>I31</f>
        <v>Géométrie</v>
      </c>
      <c r="BS81" t="str">
        <f>BS79</f>
        <v xml:space="preserve"> ( </v>
      </c>
      <c r="BT81" s="63">
        <f>BT44</f>
        <v>3</v>
      </c>
      <c r="BU81" s="64" t="s">
        <v>95</v>
      </c>
      <c r="BV81">
        <f>BV44</f>
        <v>11</v>
      </c>
      <c r="BW81" t="s">
        <v>154</v>
      </c>
      <c r="BX81">
        <f>BT81/BV81</f>
        <v>0.27272727272727271</v>
      </c>
      <c r="BY81">
        <f>INT(BX81)</f>
        <v>0</v>
      </c>
      <c r="BZ81">
        <f>BX81-BY81</f>
        <v>0.27272727272727271</v>
      </c>
      <c r="CA81" t="str">
        <f>MID(BZ81,1,4)</f>
        <v>0,27</v>
      </c>
      <c r="CB81">
        <f>CB44</f>
        <v>27.27</v>
      </c>
      <c r="CC81" t="str">
        <f>CC44</f>
        <v>%</v>
      </c>
      <c r="CD81" t="str">
        <f>CD44</f>
        <v xml:space="preserve"> = </v>
      </c>
      <c r="CE81" t="str">
        <f>CB81&amp;CC81</f>
        <v>27,27%</v>
      </c>
      <c r="CF81" t="str">
        <f>CF79</f>
        <v xml:space="preserve"> ) </v>
      </c>
      <c r="CG81" t="str">
        <f>BQ81&amp;BS81&amp;BT81&amp;BW81&amp;BU81&amp;BV81&amp;CD81&amp;CE81&amp;CF81</f>
        <v xml:space="preserve">Géométrie ( 3 dossiers / 11 = 27,27% ) </v>
      </c>
      <c r="CH81"/>
    </row>
    <row r="82" spans="1:94" x14ac:dyDescent="0.25">
      <c r="B82" s="356">
        <f>IF(J84=1,1,0)</f>
        <v>0</v>
      </c>
      <c r="C82" s="356">
        <f t="shared" si="56"/>
        <v>0</v>
      </c>
      <c r="D82" s="42">
        <f>D28+D78+D45</f>
        <v>55</v>
      </c>
      <c r="E82">
        <f>E45+1</f>
        <v>1</v>
      </c>
      <c r="G82" s="83"/>
      <c r="H82" s="32"/>
      <c r="I82" s="437" t="str">
        <f>CG45</f>
        <v>nombre de dossiers = 20 / 55 = 36,36%</v>
      </c>
      <c r="J82" s="437">
        <f>J44+J78+J28</f>
        <v>20</v>
      </c>
      <c r="K82" s="415">
        <f>K78</f>
        <v>10</v>
      </c>
      <c r="L82" s="416">
        <f t="shared" ref="L82:Q82" si="59">L44+L78+L28</f>
        <v>4</v>
      </c>
      <c r="M82" s="416">
        <f t="shared" si="59"/>
        <v>2</v>
      </c>
      <c r="N82" s="417">
        <f t="shared" si="59"/>
        <v>5</v>
      </c>
      <c r="O82" s="423">
        <f t="shared" si="59"/>
        <v>93.5</v>
      </c>
      <c r="P82" s="424">
        <f t="shared" si="59"/>
        <v>758</v>
      </c>
      <c r="Q82" s="425">
        <f t="shared" si="59"/>
        <v>116</v>
      </c>
      <c r="R82" s="431">
        <f>R28+R78+R44</f>
        <v>839</v>
      </c>
      <c r="S82" s="432">
        <f>P82/R82</f>
        <v>0.90345649582836707</v>
      </c>
      <c r="T82" s="48"/>
      <c r="U82" s="48"/>
      <c r="V82" s="83">
        <f>V44+V78+V28</f>
        <v>95</v>
      </c>
      <c r="W82" s="48"/>
      <c r="X82" s="145">
        <f>AN82</f>
        <v>57</v>
      </c>
      <c r="Y82" s="145">
        <f>Y44+Y78+Y28</f>
        <v>119</v>
      </c>
      <c r="Z82" s="145"/>
      <c r="AA82" s="144"/>
      <c r="AB82" s="83">
        <f>AB44+AB78+AB28</f>
        <v>143.5</v>
      </c>
      <c r="AC82" s="83"/>
      <c r="AD82" s="83"/>
      <c r="AE82" s="83">
        <f>AE44+AE78+AE28</f>
        <v>86</v>
      </c>
      <c r="AF82" s="142">
        <f>AF28</f>
        <v>20</v>
      </c>
      <c r="AG82" s="73"/>
      <c r="AH82" s="73"/>
      <c r="AJ82" s="152">
        <f>AJ44+AJ78+AJ28</f>
        <v>64</v>
      </c>
      <c r="AK82" s="152">
        <f>AK44+AK78+AK28</f>
        <v>9</v>
      </c>
      <c r="AL82" s="144"/>
      <c r="AM82" s="152">
        <f>AM44+AM78+AM28</f>
        <v>815</v>
      </c>
      <c r="AN82" s="172">
        <f>AN44+AN78+AN28</f>
        <v>57</v>
      </c>
      <c r="AO82" s="152">
        <f>AO44+AO78+AO28</f>
        <v>896</v>
      </c>
      <c r="AP82" s="3"/>
      <c r="AQ82" s="152"/>
      <c r="AR82" s="302">
        <f>AR44/J94</f>
        <v>656.94444444444446</v>
      </c>
      <c r="AS82" s="303">
        <f>AS44/J94</f>
        <v>638.88888888888891</v>
      </c>
      <c r="AT82" s="4"/>
      <c r="AU82" s="41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</row>
    <row r="83" spans="1:94" x14ac:dyDescent="0.25">
      <c r="D83" s="42"/>
      <c r="G83" s="86"/>
      <c r="H83" s="272"/>
      <c r="I83" s="438" t="s">
        <v>365</v>
      </c>
      <c r="J83" s="438">
        <f>B94</f>
        <v>16</v>
      </c>
      <c r="K83" s="418"/>
      <c r="L83" s="414"/>
      <c r="M83" s="414"/>
      <c r="N83" s="419"/>
      <c r="O83" s="426"/>
      <c r="P83" s="73"/>
      <c r="Q83" s="427"/>
      <c r="R83" s="433"/>
      <c r="S83" s="434"/>
      <c r="T83" s="48"/>
      <c r="U83" s="48"/>
      <c r="V83" s="73"/>
      <c r="W83" s="48"/>
      <c r="X83" s="142"/>
      <c r="Y83" s="142"/>
      <c r="Z83" s="142"/>
      <c r="AA83" s="144"/>
      <c r="AB83" s="73"/>
      <c r="AC83" s="73"/>
      <c r="AD83" s="73"/>
      <c r="AE83" s="73"/>
      <c r="AF83" s="142">
        <f>AF44</f>
        <v>37</v>
      </c>
      <c r="AG83" s="73"/>
      <c r="AH83" s="73"/>
      <c r="AJ83" s="199"/>
      <c r="AK83" s="167"/>
      <c r="AL83" s="144"/>
      <c r="AM83" s="213"/>
      <c r="AN83" s="172"/>
      <c r="AO83" s="152"/>
      <c r="AP83" s="3"/>
      <c r="AQ83" s="199"/>
      <c r="AR83" s="209"/>
      <c r="AS83" s="178"/>
      <c r="AT83" s="4"/>
      <c r="AU83" s="41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Q83" s="3"/>
      <c r="BR83" s="3"/>
      <c r="BT83" s="63"/>
      <c r="BU83" s="64"/>
      <c r="CI83" s="3"/>
    </row>
    <row r="84" spans="1:94" ht="15.75" thickBot="1" x14ac:dyDescent="0.3">
      <c r="C84" s="356">
        <f t="shared" si="56"/>
        <v>0</v>
      </c>
      <c r="D84" s="42"/>
      <c r="G84" s="153"/>
      <c r="H84" s="32"/>
      <c r="I84" s="439" t="s">
        <v>366</v>
      </c>
      <c r="J84" s="439">
        <f>J82+J83</f>
        <v>36</v>
      </c>
      <c r="K84" s="420"/>
      <c r="L84" s="421">
        <f>L82+M82</f>
        <v>6</v>
      </c>
      <c r="M84" s="421"/>
      <c r="N84" s="422"/>
      <c r="O84" s="428"/>
      <c r="P84" s="429">
        <f>AM82</f>
        <v>815</v>
      </c>
      <c r="Q84" s="430"/>
      <c r="R84" s="435">
        <f>AO82</f>
        <v>896</v>
      </c>
      <c r="S84" s="436">
        <f>P84/R84</f>
        <v>0.9095982142857143</v>
      </c>
      <c r="T84" s="48"/>
      <c r="U84" s="48"/>
      <c r="V84" s="153"/>
      <c r="W84" s="48"/>
      <c r="X84" s="143">
        <f>X82</f>
        <v>57</v>
      </c>
      <c r="Y84" s="143">
        <f>X82+Y82</f>
        <v>176</v>
      </c>
      <c r="Z84" s="143"/>
      <c r="AA84" s="144"/>
      <c r="AB84" s="153"/>
      <c r="AC84" s="153"/>
      <c r="AD84" s="153"/>
      <c r="AE84" s="153"/>
      <c r="AF84" s="143">
        <f>AF78</f>
        <v>52</v>
      </c>
      <c r="AG84" s="153"/>
      <c r="AH84" s="153"/>
      <c r="AJ84" s="199"/>
      <c r="AK84" s="167"/>
      <c r="AL84" s="144"/>
      <c r="AM84" s="200">
        <f>AM82-AN82</f>
        <v>758</v>
      </c>
      <c r="AN84" s="171"/>
      <c r="AO84" s="152">
        <f>AO78-AN78</f>
        <v>382</v>
      </c>
      <c r="AP84" s="3"/>
      <c r="AQ84" s="199"/>
      <c r="AR84" s="209"/>
      <c r="AS84" s="178"/>
      <c r="AT84" s="4"/>
      <c r="AU84" s="41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Q84" s="3"/>
      <c r="BR84" s="3"/>
      <c r="BS84" t="s">
        <v>388</v>
      </c>
      <c r="BT84" s="63">
        <f>G93</f>
        <v>21</v>
      </c>
      <c r="BU84" s="64" t="s">
        <v>95</v>
      </c>
      <c r="BV84">
        <f>C93</f>
        <v>55</v>
      </c>
      <c r="BW84" s="65" t="s">
        <v>387</v>
      </c>
      <c r="BX84">
        <f>BT84/BV84</f>
        <v>0.38181818181818183</v>
      </c>
      <c r="BY84">
        <f>INT(BX84)</f>
        <v>0</v>
      </c>
      <c r="BZ84">
        <f>BX84-BY84</f>
        <v>0.38181818181818183</v>
      </c>
      <c r="CA84" t="str">
        <f>IF(BZ84=0,BY84,MID(BZ84,1,4))</f>
        <v>0,38</v>
      </c>
      <c r="CB84">
        <f>CB46</f>
        <v>38.18</v>
      </c>
      <c r="CC84" t="str">
        <f>CC46</f>
        <v>%</v>
      </c>
      <c r="CD84" t="s">
        <v>147</v>
      </c>
      <c r="CE84" t="str">
        <f>CB84&amp;CC84</f>
        <v>38,18%</v>
      </c>
      <c r="CF84" t="str">
        <f>CF81</f>
        <v xml:space="preserve"> ) </v>
      </c>
      <c r="CG84" t="str">
        <f>BQ84&amp;BS84&amp;BT84&amp;BW84&amp;BU84&amp;BV84&amp;CD84&amp;CE84&amp;CF84</f>
        <v xml:space="preserve">( 21 dossiers modifiés  / 55 = 38,18% ) </v>
      </c>
      <c r="CI84" s="3"/>
    </row>
    <row r="85" spans="1:94" x14ac:dyDescent="0.25">
      <c r="D85" s="42"/>
      <c r="G85" s="73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48"/>
      <c r="T85" s="48"/>
      <c r="U85" s="48"/>
      <c r="V85" s="32"/>
      <c r="W85" s="48"/>
      <c r="X85" s="144"/>
      <c r="Y85" s="144"/>
      <c r="Z85" s="144"/>
      <c r="AA85" s="144"/>
      <c r="AB85" s="32"/>
      <c r="AC85" s="32"/>
      <c r="AD85" s="32"/>
      <c r="AE85" s="144"/>
      <c r="AF85" s="144"/>
      <c r="AG85" s="144"/>
      <c r="AH85" s="144"/>
      <c r="AJ85" s="144"/>
      <c r="AK85" s="144"/>
      <c r="AL85" s="144"/>
      <c r="AM85" s="191"/>
      <c r="AN85" s="191"/>
      <c r="AO85" s="144"/>
      <c r="AP85" s="3"/>
      <c r="AQ85" s="144"/>
      <c r="AR85" s="253"/>
      <c r="AS85" s="253"/>
      <c r="AT85" s="253"/>
      <c r="AU85" s="41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Q85" s="3"/>
      <c r="BR85" s="3"/>
      <c r="BT85" s="63"/>
      <c r="BU85" s="64"/>
      <c r="BW85" s="65"/>
      <c r="CI85" s="3"/>
    </row>
    <row r="86" spans="1:94" s="3" customFormat="1" x14ac:dyDescent="0.25">
      <c r="B86" s="353"/>
      <c r="C86" s="353">
        <f t="shared" si="56"/>
        <v>0</v>
      </c>
      <c r="D86" s="353"/>
      <c r="G86" s="275"/>
      <c r="H86" s="273"/>
      <c r="I86" s="391" t="s">
        <v>390</v>
      </c>
      <c r="J86" s="392"/>
      <c r="K86" s="392"/>
      <c r="L86" s="392"/>
      <c r="M86" s="392"/>
      <c r="N86" s="392"/>
      <c r="O86" s="392"/>
      <c r="P86" s="392"/>
      <c r="Q86" s="392"/>
      <c r="R86" s="392"/>
      <c r="S86" s="393"/>
      <c r="X86" s="191"/>
      <c r="Y86" s="191"/>
      <c r="Z86" s="191"/>
      <c r="AA86" s="4"/>
      <c r="AB86" s="257" t="s">
        <v>391</v>
      </c>
      <c r="AC86" s="183"/>
      <c r="AD86" s="349"/>
      <c r="AE86" s="145"/>
      <c r="AF86" s="145"/>
      <c r="AG86" s="145"/>
      <c r="AH86" s="145"/>
      <c r="AJ86" s="191"/>
      <c r="AK86" s="191"/>
      <c r="AL86" s="191"/>
      <c r="AM86" s="191"/>
      <c r="AN86" s="191"/>
      <c r="AO86" s="191"/>
      <c r="AQ86" s="191"/>
      <c r="AR86" s="4"/>
      <c r="AS86" s="4"/>
      <c r="AT86" s="4"/>
    </row>
    <row r="87" spans="1:94" s="3" customFormat="1" x14ac:dyDescent="0.25">
      <c r="B87" s="356">
        <f t="shared" ref="B87:B88" si="60">IF(J87=1,1,0)</f>
        <v>0</v>
      </c>
      <c r="C87" s="356">
        <f t="shared" si="56"/>
        <v>0</v>
      </c>
      <c r="D87" s="42"/>
      <c r="G87" s="222" t="s">
        <v>378</v>
      </c>
      <c r="H87" s="42"/>
      <c r="I87" s="229"/>
      <c r="J87" s="35"/>
      <c r="K87" s="268"/>
      <c r="L87" s="268"/>
      <c r="M87" s="269"/>
      <c r="N87" s="36"/>
      <c r="O87" s="36" t="s">
        <v>381</v>
      </c>
      <c r="P87" s="36"/>
      <c r="Q87" s="260"/>
      <c r="R87" s="397" t="s">
        <v>87</v>
      </c>
      <c r="S87" s="398"/>
      <c r="T87" s="42"/>
      <c r="U87" s="42"/>
      <c r="V87" s="222"/>
      <c r="W87" s="42"/>
      <c r="X87" s="394" t="s">
        <v>291</v>
      </c>
      <c r="Y87" s="395"/>
      <c r="Z87" s="225"/>
      <c r="AB87" s="229"/>
      <c r="AC87" s="307"/>
      <c r="AD87" s="307"/>
      <c r="AE87" s="142"/>
      <c r="AF87" s="142"/>
      <c r="AG87" s="142"/>
      <c r="AH87" s="142"/>
      <c r="AJ87" s="147"/>
      <c r="AK87" s="147"/>
      <c r="AL87" s="147"/>
      <c r="AM87" s="147"/>
      <c r="AN87" s="147"/>
      <c r="AO87" s="147"/>
      <c r="AQ87" s="147"/>
      <c r="AR87" s="4"/>
      <c r="AS87" s="4"/>
      <c r="AT87" s="4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U87" s="64"/>
    </row>
    <row r="88" spans="1:94" s="3" customFormat="1" ht="25.5" customHeight="1" x14ac:dyDescent="0.25">
      <c r="B88" s="356">
        <f t="shared" si="60"/>
        <v>0</v>
      </c>
      <c r="C88" s="356">
        <f t="shared" si="56"/>
        <v>0</v>
      </c>
      <c r="D88" s="42"/>
      <c r="G88" s="73" t="s">
        <v>379</v>
      </c>
      <c r="H88" s="32"/>
      <c r="I88" s="278" t="s">
        <v>106</v>
      </c>
      <c r="J88" s="363" t="s">
        <v>396</v>
      </c>
      <c r="K88" s="364" t="s">
        <v>376</v>
      </c>
      <c r="L88" s="26" t="s">
        <v>17</v>
      </c>
      <c r="M88" s="26" t="s">
        <v>473</v>
      </c>
      <c r="N88" s="25" t="s">
        <v>382</v>
      </c>
      <c r="O88" s="26" t="s">
        <v>17</v>
      </c>
      <c r="P88" s="26" t="s">
        <v>361</v>
      </c>
      <c r="Q88" s="26" t="s">
        <v>97</v>
      </c>
      <c r="R88" s="25" t="s">
        <v>27</v>
      </c>
      <c r="S88" s="279" t="s">
        <v>104</v>
      </c>
      <c r="T88" s="237"/>
      <c r="U88" s="237"/>
      <c r="V88" s="28" t="s">
        <v>138</v>
      </c>
      <c r="W88" s="237"/>
      <c r="X88" s="155" t="s">
        <v>295</v>
      </c>
      <c r="Y88" s="155" t="s">
        <v>296</v>
      </c>
      <c r="Z88" s="226"/>
      <c r="AB88" s="190"/>
      <c r="AC88" s="189"/>
      <c r="AD88" s="189"/>
      <c r="AE88" s="142"/>
      <c r="AF88" s="143"/>
      <c r="AG88" s="142"/>
      <c r="AH88" s="142"/>
      <c r="AJ88" s="144"/>
      <c r="AK88" s="144"/>
      <c r="AL88" s="144"/>
      <c r="AM88" s="148"/>
      <c r="AN88" s="148"/>
      <c r="AO88" s="144" t="s">
        <v>312</v>
      </c>
      <c r="AQ88" s="148"/>
      <c r="AR88" s="168">
        <f>MIN(AR5:AR43)</f>
        <v>0</v>
      </c>
      <c r="AS88" s="168">
        <f>MIN(AS5:AS43)</f>
        <v>0</v>
      </c>
      <c r="AT88" s="173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U88" s="64"/>
    </row>
    <row r="89" spans="1:94" s="3" customFormat="1" x14ac:dyDescent="0.25">
      <c r="A89" s="3">
        <f>B28</f>
        <v>12</v>
      </c>
      <c r="B89" s="353">
        <f>C28</f>
        <v>18</v>
      </c>
      <c r="C89" s="353">
        <f>D28</f>
        <v>23</v>
      </c>
      <c r="D89" s="42"/>
      <c r="G89" s="83">
        <f>G28</f>
        <v>12</v>
      </c>
      <c r="H89" s="32"/>
      <c r="I89" s="37" t="str">
        <f>BQ89</f>
        <v xml:space="preserve">Algèbre ( 12 dossiers  / 23 = 52,17% ) </v>
      </c>
      <c r="J89" s="58" t="str">
        <f>CE28</f>
        <v>52,17%</v>
      </c>
      <c r="K89" s="102" t="s">
        <v>395</v>
      </c>
      <c r="L89" s="32">
        <v>1</v>
      </c>
      <c r="M89" s="32">
        <f t="shared" ref="M89:S89" si="61">M28</f>
        <v>1</v>
      </c>
      <c r="N89" s="68">
        <f t="shared" si="61"/>
        <v>2</v>
      </c>
      <c r="O89" s="32">
        <f t="shared" si="61"/>
        <v>40.5</v>
      </c>
      <c r="P89" s="42">
        <f t="shared" si="61"/>
        <v>250</v>
      </c>
      <c r="Q89" s="59">
        <f t="shared" si="61"/>
        <v>-8</v>
      </c>
      <c r="R89" s="42">
        <f t="shared" si="61"/>
        <v>160</v>
      </c>
      <c r="S89" s="43">
        <f t="shared" si="61"/>
        <v>1.5625</v>
      </c>
      <c r="T89" s="48"/>
      <c r="U89" s="48"/>
      <c r="V89" s="142">
        <f>V28</f>
        <v>20</v>
      </c>
      <c r="W89" s="48"/>
      <c r="X89" s="142">
        <f>X28</f>
        <v>3</v>
      </c>
      <c r="Y89" s="142">
        <f>Y28</f>
        <v>16</v>
      </c>
      <c r="Z89" s="166">
        <f>AO28</f>
        <v>163</v>
      </c>
      <c r="AB89" s="83">
        <f>AB28</f>
        <v>40.5</v>
      </c>
      <c r="AC89" s="83"/>
      <c r="AD89" s="83"/>
      <c r="AE89" s="145"/>
      <c r="AF89" s="145">
        <f>AF82</f>
        <v>20</v>
      </c>
      <c r="AG89" s="145"/>
      <c r="AH89" s="145"/>
      <c r="AJ89" s="149"/>
      <c r="AK89" s="149"/>
      <c r="AL89" s="149"/>
      <c r="AM89" s="144"/>
      <c r="AN89" s="144"/>
      <c r="AO89" s="149" t="s">
        <v>314</v>
      </c>
      <c r="AQ89" s="144"/>
      <c r="AR89" s="168">
        <f>AVERAGE(AR5:AR43)</f>
        <v>13.911764705882353</v>
      </c>
      <c r="AS89" s="168">
        <f>AVERAGE(AS5:AS43)</f>
        <v>13.529411764705882</v>
      </c>
      <c r="AT89" s="173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Q89" s="5" t="str">
        <f>CG29</f>
        <v xml:space="preserve">Algèbre ( 12 dossiers  / 23 = 52,17% ) </v>
      </c>
      <c r="BU89" s="64"/>
    </row>
    <row r="90" spans="1:94" s="3" customFormat="1" x14ac:dyDescent="0.25">
      <c r="A90" s="3">
        <f>B78</f>
        <v>5</v>
      </c>
      <c r="B90" s="353">
        <f>C78</f>
        <v>13</v>
      </c>
      <c r="C90" s="353">
        <f>D78</f>
        <v>21</v>
      </c>
      <c r="D90" s="42"/>
      <c r="G90" s="73">
        <f>G78</f>
        <v>4</v>
      </c>
      <c r="H90" s="32"/>
      <c r="I90" s="40" t="str">
        <f>BQ90</f>
        <v xml:space="preserve">Analyse ( 5 dossiers / 21 = 23,8% ) </v>
      </c>
      <c r="J90" s="58" t="str">
        <f>CE78</f>
        <v>23,8%</v>
      </c>
      <c r="K90" s="102" t="s">
        <v>395</v>
      </c>
      <c r="L90" s="32">
        <f t="shared" ref="L90:Y90" si="62">L78</f>
        <v>1</v>
      </c>
      <c r="M90" s="32">
        <f t="shared" si="62"/>
        <v>1</v>
      </c>
      <c r="N90" s="68">
        <f>N78</f>
        <v>2</v>
      </c>
      <c r="O90" s="32">
        <f t="shared" si="62"/>
        <v>45</v>
      </c>
      <c r="P90" s="32">
        <f t="shared" si="62"/>
        <v>288</v>
      </c>
      <c r="Q90" s="74">
        <f t="shared" si="62"/>
        <v>113</v>
      </c>
      <c r="R90" s="32">
        <f t="shared" si="62"/>
        <v>382</v>
      </c>
      <c r="S90" s="43">
        <f t="shared" si="62"/>
        <v>0.75392670157068065</v>
      </c>
      <c r="T90" s="48"/>
      <c r="U90" s="48"/>
      <c r="V90" s="142">
        <f>V44</f>
        <v>25</v>
      </c>
      <c r="W90" s="48"/>
      <c r="X90" s="139">
        <f t="shared" si="62"/>
        <v>54</v>
      </c>
      <c r="Y90" s="139">
        <f t="shared" si="62"/>
        <v>101</v>
      </c>
      <c r="Z90" s="227">
        <f>AO78</f>
        <v>436</v>
      </c>
      <c r="AB90" s="73">
        <f>AB78</f>
        <v>63</v>
      </c>
      <c r="AC90" s="73"/>
      <c r="AD90" s="73"/>
      <c r="AE90" s="142"/>
      <c r="AF90" s="142">
        <f t="shared" ref="AF90:AF91" si="63">AF83</f>
        <v>37</v>
      </c>
      <c r="AG90" s="142"/>
      <c r="AH90" s="142"/>
      <c r="AJ90" s="144"/>
      <c r="AK90" s="144"/>
      <c r="AL90" s="144"/>
      <c r="AM90" s="149"/>
      <c r="AN90" s="149"/>
      <c r="AO90" s="144" t="s">
        <v>313</v>
      </c>
      <c r="AQ90" s="149"/>
      <c r="AR90" s="168">
        <f>MAX(AR5:AR43)</f>
        <v>106</v>
      </c>
      <c r="AS90" s="168">
        <f>MAX(AS5:AS43)</f>
        <v>57</v>
      </c>
      <c r="AT90" s="173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Q90" s="3" t="str">
        <f>CG79</f>
        <v xml:space="preserve">Analyse ( 5 dossiers / 21 = 23,8% ) </v>
      </c>
      <c r="BR90" s="5"/>
      <c r="BS90" s="5"/>
      <c r="BU90" s="64"/>
      <c r="BW90" s="65"/>
      <c r="BX90"/>
      <c r="BY90"/>
      <c r="BZ90"/>
      <c r="CA90"/>
      <c r="CB90"/>
      <c r="CC90"/>
      <c r="CD90"/>
      <c r="CE90"/>
      <c r="CF90"/>
      <c r="CG90"/>
      <c r="CH90"/>
      <c r="CI90"/>
    </row>
    <row r="91" spans="1:94" s="3" customFormat="1" x14ac:dyDescent="0.25">
      <c r="A91" s="3">
        <f>B45</f>
        <v>3</v>
      </c>
      <c r="B91" s="353">
        <f>C45</f>
        <v>5</v>
      </c>
      <c r="C91" s="353">
        <f>D45</f>
        <v>11</v>
      </c>
      <c r="D91" s="42">
        <f>R89+R90+R91</f>
        <v>839</v>
      </c>
      <c r="G91" s="153">
        <f>G44</f>
        <v>5</v>
      </c>
      <c r="H91" s="32"/>
      <c r="I91" s="44" t="str">
        <f>BQ91</f>
        <v xml:space="preserve">Géométrie ( 3 dossiers / 11 = 27,27% ) </v>
      </c>
      <c r="J91" s="95" t="str">
        <f>CE44</f>
        <v>27,27%</v>
      </c>
      <c r="K91" s="103" t="s">
        <v>395</v>
      </c>
      <c r="L91" s="34">
        <f t="shared" ref="L91:S91" si="64">L44</f>
        <v>1</v>
      </c>
      <c r="M91" s="34">
        <f t="shared" si="64"/>
        <v>0</v>
      </c>
      <c r="N91" s="212">
        <f t="shared" si="64"/>
        <v>1</v>
      </c>
      <c r="O91" s="34">
        <f t="shared" si="64"/>
        <v>8</v>
      </c>
      <c r="P91" s="34">
        <f t="shared" si="64"/>
        <v>220</v>
      </c>
      <c r="Q91" s="210">
        <f t="shared" si="64"/>
        <v>11</v>
      </c>
      <c r="R91" s="34">
        <f t="shared" si="64"/>
        <v>297</v>
      </c>
      <c r="S91" s="47">
        <f t="shared" si="64"/>
        <v>0.7407407407407407</v>
      </c>
      <c r="T91" s="48"/>
      <c r="U91" s="48"/>
      <c r="V91" s="143">
        <f>V78</f>
        <v>50</v>
      </c>
      <c r="W91" s="48"/>
      <c r="X91" s="143">
        <f>X44</f>
        <v>0</v>
      </c>
      <c r="Y91" s="143">
        <f>Y44</f>
        <v>2</v>
      </c>
      <c r="Z91" s="167">
        <f>AO44</f>
        <v>297</v>
      </c>
      <c r="AB91" s="153">
        <f>AB44</f>
        <v>40</v>
      </c>
      <c r="AC91" s="153"/>
      <c r="AD91" s="153"/>
      <c r="AE91" s="143"/>
      <c r="AF91" s="143">
        <f t="shared" si="63"/>
        <v>52</v>
      </c>
      <c r="AG91" s="143"/>
      <c r="AH91" s="143"/>
      <c r="AM91" s="144"/>
      <c r="AN91" s="144"/>
      <c r="AQ91" s="144"/>
      <c r="AR91" s="4">
        <f>AT66</f>
        <v>724</v>
      </c>
      <c r="AS91" s="4">
        <f>AU66</f>
        <v>758</v>
      </c>
      <c r="AT91" s="4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Q91" s="3" t="str">
        <f>CG81</f>
        <v xml:space="preserve">Géométrie ( 3 dossiers / 11 = 27,27% ) </v>
      </c>
      <c r="BU91" s="64" t="s">
        <v>95</v>
      </c>
    </row>
    <row r="92" spans="1:94" s="3" customFormat="1" ht="5.0999999999999996" customHeight="1" x14ac:dyDescent="0.25">
      <c r="B92" s="353"/>
      <c r="C92" s="353"/>
      <c r="D92" s="42"/>
      <c r="G92" s="189"/>
      <c r="H92" s="42"/>
      <c r="I92" s="41"/>
      <c r="J92" s="42"/>
      <c r="K92" s="42"/>
      <c r="L92" s="42"/>
      <c r="M92" s="41"/>
      <c r="N92" s="41"/>
      <c r="O92" s="32"/>
      <c r="P92" s="42"/>
      <c r="Q92" s="42"/>
      <c r="R92" s="42"/>
      <c r="S92" s="48"/>
      <c r="T92" s="48"/>
      <c r="U92" s="48"/>
      <c r="V92" s="43"/>
      <c r="W92" s="48"/>
      <c r="X92" s="176"/>
      <c r="Y92" s="144"/>
      <c r="Z92" s="144"/>
      <c r="AB92" s="222"/>
      <c r="AC92" s="189"/>
      <c r="AD92" s="189"/>
      <c r="AE92" s="142"/>
      <c r="AF92" s="144"/>
      <c r="AG92" s="144"/>
      <c r="AH92" s="144"/>
      <c r="AJ92" s="144"/>
      <c r="AK92" s="144"/>
      <c r="AL92" s="144"/>
      <c r="AM92" s="144"/>
      <c r="AN92" s="144"/>
      <c r="AO92" s="144"/>
      <c r="AQ92" s="144"/>
      <c r="AR92" s="4"/>
      <c r="AS92" s="4"/>
      <c r="AT92" s="4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</row>
    <row r="93" spans="1:94" s="3" customFormat="1" x14ac:dyDescent="0.25">
      <c r="A93" s="3">
        <f>SUM(A89:A91)</f>
        <v>20</v>
      </c>
      <c r="B93" s="353">
        <f>SUM(B89:B91)</f>
        <v>36</v>
      </c>
      <c r="C93" s="353">
        <f>SUM(C89:C91)</f>
        <v>55</v>
      </c>
      <c r="D93" s="42"/>
      <c r="G93" s="28">
        <f>G89+G90+G91</f>
        <v>21</v>
      </c>
      <c r="H93" s="32"/>
      <c r="I93" s="37" t="s">
        <v>374</v>
      </c>
      <c r="J93" s="35">
        <f>J84</f>
        <v>36</v>
      </c>
      <c r="K93" s="268">
        <f>L93+M93</f>
        <v>6</v>
      </c>
      <c r="L93" s="38">
        <f t="shared" ref="L93:S93" si="65">L82</f>
        <v>4</v>
      </c>
      <c r="M93" s="151">
        <f>M91+M90+M89</f>
        <v>2</v>
      </c>
      <c r="N93" s="38">
        <f t="shared" ref="N93" si="66">N82</f>
        <v>5</v>
      </c>
      <c r="O93" s="89">
        <f t="shared" si="65"/>
        <v>93.5</v>
      </c>
      <c r="P93" s="262">
        <f t="shared" si="65"/>
        <v>758</v>
      </c>
      <c r="Q93" s="262">
        <f t="shared" si="65"/>
        <v>116</v>
      </c>
      <c r="R93" s="262">
        <f t="shared" si="65"/>
        <v>839</v>
      </c>
      <c r="S93" s="50">
        <f t="shared" si="65"/>
        <v>0.90345649582836707</v>
      </c>
      <c r="T93" s="48"/>
      <c r="U93" s="48"/>
      <c r="V93" s="145">
        <f>V91+V90+V89</f>
        <v>95</v>
      </c>
      <c r="W93" s="48"/>
      <c r="X93" s="145">
        <f>SUM(X89:X91)</f>
        <v>57</v>
      </c>
      <c r="Y93" s="220">
        <f>SUM(Y89:Y92)</f>
        <v>119</v>
      </c>
      <c r="Z93" s="221">
        <f>Z89+Z90+Z91</f>
        <v>896</v>
      </c>
      <c r="AB93" s="222">
        <f>AB89+AB90+AB91</f>
        <v>143.5</v>
      </c>
      <c r="AC93" s="222"/>
      <c r="AD93" s="222"/>
      <c r="AE93" s="229"/>
      <c r="AF93" s="145">
        <f>AF89+AF90+AF91</f>
        <v>109</v>
      </c>
      <c r="AG93" s="229"/>
      <c r="AH93" s="229"/>
      <c r="AJ93" s="144"/>
      <c r="AK93" s="144"/>
      <c r="AL93" s="144"/>
      <c r="AM93" s="144"/>
      <c r="AN93" s="144"/>
      <c r="AO93" s="144"/>
      <c r="AQ93" s="144"/>
      <c r="AR93" s="4"/>
      <c r="AS93" s="4"/>
      <c r="AT93" s="4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</row>
    <row r="94" spans="1:94" x14ac:dyDescent="0.25">
      <c r="A94" s="3"/>
      <c r="B94" s="353">
        <f>B93-A93</f>
        <v>16</v>
      </c>
      <c r="C94" s="353"/>
      <c r="D94" s="88"/>
      <c r="G94" s="276">
        <f>G93/C93</f>
        <v>0.38181818181818183</v>
      </c>
      <c r="H94" s="274"/>
      <c r="I94" s="246" t="str">
        <f>CG45</f>
        <v>nombre de dossiers = 20 / 55 = 36,36%</v>
      </c>
      <c r="J94" s="247">
        <f>E95</f>
        <v>0.72</v>
      </c>
      <c r="K94" s="244">
        <f>K93/J93</f>
        <v>0.16666666666666666</v>
      </c>
      <c r="L94" s="244">
        <f>L93/J93</f>
        <v>0.1111111111111111</v>
      </c>
      <c r="M94" s="245">
        <f>M93/J93</f>
        <v>5.5555555555555552E-2</v>
      </c>
      <c r="N94" s="239">
        <f>N93/C93</f>
        <v>9.0909090909090912E-2</v>
      </c>
      <c r="O94" s="262"/>
      <c r="P94" s="90">
        <f>O93/P93</f>
        <v>0.12335092348284961</v>
      </c>
      <c r="Q94" s="91"/>
      <c r="R94" s="90">
        <f>O93/R93</f>
        <v>0.11144219308700834</v>
      </c>
      <c r="S94" s="66"/>
      <c r="T94" s="215"/>
      <c r="U94" s="215"/>
      <c r="V94" s="145">
        <f>O93</f>
        <v>93.5</v>
      </c>
      <c r="W94" s="215"/>
      <c r="X94" s="143"/>
      <c r="Y94" s="199"/>
      <c r="Z94" s="167">
        <f>Z93-X93</f>
        <v>839</v>
      </c>
      <c r="AB94" s="189">
        <f>AF93</f>
        <v>109</v>
      </c>
      <c r="AC94" s="189"/>
      <c r="AD94" s="189"/>
      <c r="AE94" s="142"/>
      <c r="AF94" s="142"/>
      <c r="AG94" s="142"/>
      <c r="AH94" s="142"/>
      <c r="AJ94" s="144"/>
      <c r="AK94" s="144"/>
      <c r="AL94" s="144"/>
      <c r="AM94" s="144"/>
      <c r="AN94" s="144"/>
      <c r="AO94" s="144"/>
      <c r="AQ94" s="144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Q94" t="s">
        <v>247</v>
      </c>
    </row>
    <row r="95" spans="1:94" x14ac:dyDescent="0.25">
      <c r="D95" s="88"/>
      <c r="E95" s="214">
        <f>J93/G95</f>
        <v>0.72</v>
      </c>
      <c r="F95" s="214"/>
      <c r="G95" s="277">
        <v>50</v>
      </c>
      <c r="H95" s="94"/>
      <c r="I95" s="67" t="str">
        <f>CG84</f>
        <v xml:space="preserve">( 21 dossiers modifiés  / 55 = 38,18% ) </v>
      </c>
      <c r="J95" s="267">
        <v>50</v>
      </c>
      <c r="K95" s="70">
        <f>K93/J95</f>
        <v>0.12</v>
      </c>
      <c r="L95" s="70">
        <f>L93/J95</f>
        <v>0.08</v>
      </c>
      <c r="M95" s="66">
        <f>M93/J95</f>
        <v>0.04</v>
      </c>
      <c r="N95" s="91">
        <f>O93</f>
        <v>93.5</v>
      </c>
      <c r="O95" s="243">
        <f>V93</f>
        <v>95</v>
      </c>
      <c r="P95" s="91">
        <f>N95+O95</f>
        <v>188.5</v>
      </c>
      <c r="Q95" s="242">
        <f>P95/P93</f>
        <v>0.24868073878627969</v>
      </c>
      <c r="R95" s="241">
        <f>P95/R93</f>
        <v>0.22467222884386173</v>
      </c>
      <c r="S95" s="66"/>
      <c r="T95" s="215"/>
      <c r="U95" s="215"/>
      <c r="V95" s="152">
        <f>V93+V94</f>
        <v>188.5</v>
      </c>
      <c r="W95" s="215"/>
      <c r="X95" s="144"/>
      <c r="Y95" s="144"/>
      <c r="Z95" s="144"/>
      <c r="AA95" s="216"/>
      <c r="AB95" s="190">
        <f>AB93+AB94</f>
        <v>252.5</v>
      </c>
      <c r="AC95" s="190"/>
      <c r="AD95" s="190"/>
      <c r="AE95" s="143"/>
      <c r="AF95" s="143"/>
      <c r="AG95" s="143"/>
      <c r="AH95" s="143"/>
      <c r="AJ95" s="144"/>
      <c r="AK95" s="144"/>
      <c r="AL95" s="144"/>
      <c r="AM95" s="144"/>
      <c r="AN95" s="144"/>
      <c r="AO95" s="144"/>
      <c r="AQ95" s="144"/>
      <c r="AR95" s="206"/>
      <c r="AS95" s="206"/>
      <c r="AT95" s="206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</row>
    <row r="96" spans="1:94" x14ac:dyDescent="0.25">
      <c r="V96" s="240"/>
      <c r="X96" s="191"/>
      <c r="Y96" s="191"/>
      <c r="Z96" s="250">
        <f>P93</f>
        <v>758</v>
      </c>
      <c r="AB96" s="248">
        <f>AB95/P93</f>
        <v>0.33311345646437995</v>
      </c>
      <c r="AC96" s="248"/>
      <c r="AD96" s="248"/>
      <c r="AE96" s="250"/>
      <c r="AF96" s="259"/>
      <c r="AG96" s="250"/>
      <c r="AH96" s="250"/>
      <c r="BQ96" s="3" t="s">
        <v>248</v>
      </c>
    </row>
    <row r="97" spans="2:53" x14ac:dyDescent="0.25">
      <c r="G97" s="4"/>
      <c r="I97" s="184"/>
      <c r="J97" s="357"/>
      <c r="K97" s="357"/>
      <c r="L97" s="357"/>
      <c r="M97" s="232"/>
      <c r="N97" s="357" t="s">
        <v>312</v>
      </c>
      <c r="O97" s="232" t="s">
        <v>314</v>
      </c>
      <c r="P97" s="232" t="s">
        <v>313</v>
      </c>
      <c r="Q97" s="357" t="s">
        <v>312</v>
      </c>
      <c r="R97" s="232" t="s">
        <v>314</v>
      </c>
      <c r="S97" s="236" t="s">
        <v>313</v>
      </c>
      <c r="X97" s="191"/>
      <c r="Y97" s="191"/>
      <c r="Z97" s="251">
        <f>R93</f>
        <v>839</v>
      </c>
      <c r="AB97" s="249">
        <f>AB95/Z97</f>
        <v>0.30095351609058402</v>
      </c>
      <c r="AC97" s="249"/>
      <c r="AD97" s="249"/>
      <c r="AE97" s="251"/>
      <c r="AF97" s="249"/>
      <c r="AG97" s="251"/>
      <c r="AH97" s="251"/>
    </row>
    <row r="98" spans="2:53" x14ac:dyDescent="0.25">
      <c r="B98" s="359"/>
      <c r="C98" s="359"/>
      <c r="D98" s="359"/>
      <c r="G98" s="358"/>
      <c r="H98" s="358"/>
      <c r="I98" s="187"/>
      <c r="J98" s="358"/>
      <c r="K98" s="358"/>
      <c r="L98" s="358"/>
      <c r="M98" s="3"/>
      <c r="N98" s="358"/>
      <c r="O98" s="3"/>
      <c r="P98" s="3"/>
      <c r="Q98" s="358"/>
      <c r="R98" s="3"/>
      <c r="S98" s="124"/>
      <c r="X98" s="191"/>
      <c r="Y98" s="191"/>
      <c r="Z98" s="191"/>
      <c r="AA98" s="358"/>
      <c r="AB98" s="258"/>
      <c r="AC98" s="258"/>
      <c r="AD98" s="258"/>
      <c r="AE98" s="191"/>
      <c r="AF98" s="258"/>
      <c r="AG98" s="191"/>
      <c r="AH98" s="191"/>
      <c r="AR98" s="359"/>
      <c r="AS98" s="359"/>
      <c r="AT98" s="359"/>
    </row>
    <row r="99" spans="2:53" x14ac:dyDescent="0.25">
      <c r="E99">
        <v>54</v>
      </c>
      <c r="F99">
        <f>E99</f>
        <v>54</v>
      </c>
      <c r="G99" s="4"/>
      <c r="I99" s="187" t="s">
        <v>0</v>
      </c>
      <c r="J99" s="358"/>
      <c r="K99" s="311"/>
      <c r="L99" s="358"/>
      <c r="M99" s="3"/>
      <c r="N99" s="358">
        <f>MIN(P5:P26)</f>
        <v>1</v>
      </c>
      <c r="O99" s="358">
        <f>AVERAGE(P5:P26)</f>
        <v>14.055555555555555</v>
      </c>
      <c r="P99" s="358">
        <f>MAX(P5:P26)</f>
        <v>44</v>
      </c>
      <c r="Q99" s="358">
        <f>MIN(R5:R26)</f>
        <v>1</v>
      </c>
      <c r="R99" s="358">
        <f>AVERAGE(R5:R26)</f>
        <v>10.1875</v>
      </c>
      <c r="S99" s="93">
        <f>MAX(R5:R26)</f>
        <v>40</v>
      </c>
      <c r="T99" s="4"/>
      <c r="U99" s="358"/>
      <c r="V99" s="4"/>
      <c r="W99" s="4"/>
      <c r="X99" s="191"/>
      <c r="Y99" s="191"/>
      <c r="Z99" s="191"/>
      <c r="AW99" t="s">
        <v>325</v>
      </c>
      <c r="AY99">
        <v>2016</v>
      </c>
      <c r="BA99" t="str">
        <f>AW99&amp;" "&amp;AY99</f>
        <v>Septembre 2016</v>
      </c>
    </row>
    <row r="100" spans="2:53" x14ac:dyDescent="0.25">
      <c r="E100">
        <v>70</v>
      </c>
      <c r="F100">
        <f>E100-E99</f>
        <v>16</v>
      </c>
      <c r="G100" s="4"/>
      <c r="I100" s="187" t="s">
        <v>3</v>
      </c>
      <c r="J100" s="358"/>
      <c r="K100" s="358"/>
      <c r="L100" s="358"/>
      <c r="M100" s="3"/>
      <c r="N100" s="358">
        <f>MIN(P48:P76)</f>
        <v>1</v>
      </c>
      <c r="O100" s="358">
        <f>AVERAGE(P48:P76)</f>
        <v>24.428571428571427</v>
      </c>
      <c r="P100" s="358">
        <f>MAX(P48:P76)</f>
        <v>104</v>
      </c>
      <c r="Q100" s="358">
        <f>MIN(R48:R76)</f>
        <v>4</v>
      </c>
      <c r="R100" s="358">
        <f>AVERAGE(R48:R76)</f>
        <v>24.222222222222221</v>
      </c>
      <c r="S100" s="93">
        <f>MAX(R48:R76)</f>
        <v>53</v>
      </c>
      <c r="T100" s="4"/>
      <c r="U100" s="358"/>
      <c r="V100" s="4"/>
      <c r="W100" s="4"/>
      <c r="X100" s="191"/>
      <c r="Y100" s="191"/>
      <c r="Z100" s="191"/>
      <c r="AB100" s="145">
        <f>AB93</f>
        <v>143.5</v>
      </c>
      <c r="AC100" s="144"/>
      <c r="AD100" s="144"/>
      <c r="AW100" t="s">
        <v>326</v>
      </c>
      <c r="AY100">
        <v>2017</v>
      </c>
      <c r="BA100" t="str">
        <f t="shared" ref="BA100:BA105" si="67">AW100&amp;" "&amp;AY100</f>
        <v>Janvier 2017</v>
      </c>
    </row>
    <row r="101" spans="2:53" x14ac:dyDescent="0.25">
      <c r="E101">
        <v>121</v>
      </c>
      <c r="F101">
        <f>E101-E100</f>
        <v>51</v>
      </c>
      <c r="G101" s="4"/>
      <c r="I101" s="187" t="s">
        <v>7</v>
      </c>
      <c r="J101" s="358"/>
      <c r="K101" s="358"/>
      <c r="L101" s="358"/>
      <c r="M101" s="3"/>
      <c r="N101" s="358">
        <f>MIN(P32:P43)</f>
        <v>1</v>
      </c>
      <c r="O101" s="358">
        <f>AVERAGE(P32:P43)</f>
        <v>24.444444444444443</v>
      </c>
      <c r="P101" s="358">
        <f>MAX(P32:P43)</f>
        <v>106</v>
      </c>
      <c r="Q101" s="358">
        <f>MIN(R32:R43)</f>
        <v>7</v>
      </c>
      <c r="R101" s="358">
        <f>AVERAGE(R32:R43)</f>
        <v>29.7</v>
      </c>
      <c r="S101" s="93">
        <f>MAX(R32:R43)</f>
        <v>57</v>
      </c>
      <c r="T101" s="4"/>
      <c r="U101" s="358"/>
      <c r="V101" s="4"/>
      <c r="W101" s="4"/>
      <c r="X101" s="191"/>
      <c r="Y101" s="191"/>
      <c r="Z101" s="250">
        <f>Z96</f>
        <v>758</v>
      </c>
      <c r="AB101" s="259">
        <f>AB93/Z96</f>
        <v>0.18931398416886544</v>
      </c>
      <c r="AC101" s="258"/>
      <c r="AD101" s="258"/>
      <c r="AW101" t="s">
        <v>327</v>
      </c>
      <c r="AY101">
        <v>2017</v>
      </c>
      <c r="BA101" t="str">
        <f t="shared" si="67"/>
        <v>Février 2017</v>
      </c>
    </row>
    <row r="102" spans="2:53" x14ac:dyDescent="0.25">
      <c r="B102" s="359"/>
      <c r="C102" s="359"/>
      <c r="D102" s="359"/>
      <c r="G102" s="358"/>
      <c r="H102" s="358"/>
      <c r="I102" s="187" t="s">
        <v>324</v>
      </c>
      <c r="J102" s="358"/>
      <c r="K102" s="358"/>
      <c r="L102" s="358"/>
      <c r="M102" s="3"/>
      <c r="N102" s="358"/>
      <c r="O102" s="3">
        <f>AR91</f>
        <v>724</v>
      </c>
      <c r="P102" s="3"/>
      <c r="Q102" s="358"/>
      <c r="R102" s="3">
        <f>AS91</f>
        <v>758</v>
      </c>
      <c r="S102" s="124"/>
      <c r="T102" s="358"/>
      <c r="U102" s="358"/>
      <c r="V102" s="358"/>
      <c r="W102" s="358"/>
      <c r="X102" s="191"/>
      <c r="Y102" s="191"/>
      <c r="Z102" s="365"/>
      <c r="AA102" s="358"/>
      <c r="AB102" s="248"/>
      <c r="AC102" s="258"/>
      <c r="AD102" s="258"/>
      <c r="AR102" s="359"/>
      <c r="AS102" s="359"/>
      <c r="AT102" s="359"/>
    </row>
    <row r="103" spans="2:53" x14ac:dyDescent="0.25">
      <c r="G103" s="4"/>
      <c r="I103" s="188" t="s">
        <v>323</v>
      </c>
      <c r="J103" s="209">
        <f>SUM(J99:J101)</f>
        <v>0</v>
      </c>
      <c r="K103" s="314" t="s">
        <v>416</v>
      </c>
      <c r="L103" s="209"/>
      <c r="M103" s="113"/>
      <c r="N103" s="209">
        <f>AR88</f>
        <v>0</v>
      </c>
      <c r="O103" s="113">
        <f>AR89</f>
        <v>13.911764705882353</v>
      </c>
      <c r="P103" s="113">
        <f>AR90</f>
        <v>106</v>
      </c>
      <c r="Q103" s="209">
        <f>AS88</f>
        <v>0</v>
      </c>
      <c r="R103" s="113">
        <f>AS89</f>
        <v>13.529411764705882</v>
      </c>
      <c r="S103" s="235">
        <f>AS90</f>
        <v>57</v>
      </c>
      <c r="X103" s="191"/>
      <c r="Y103" s="191"/>
      <c r="Z103" s="251">
        <f>Z97</f>
        <v>839</v>
      </c>
      <c r="AB103" s="249">
        <f>AB100/Z97</f>
        <v>0.17103694874851014</v>
      </c>
      <c r="AC103" s="258"/>
      <c r="AD103" s="258"/>
      <c r="AW103" t="s">
        <v>328</v>
      </c>
      <c r="AY103">
        <v>2017</v>
      </c>
      <c r="BA103" t="str">
        <f t="shared" si="67"/>
        <v>Mars 2017</v>
      </c>
    </row>
    <row r="104" spans="2:53" x14ac:dyDescent="0.25">
      <c r="G104" s="4"/>
      <c r="X104" s="191"/>
      <c r="Y104" s="191"/>
      <c r="Z104" s="191"/>
      <c r="AW104" t="s">
        <v>329</v>
      </c>
      <c r="AY104">
        <v>2017</v>
      </c>
      <c r="BA104" t="str">
        <f t="shared" si="67"/>
        <v>Mai 2017</v>
      </c>
    </row>
    <row r="105" spans="2:53" x14ac:dyDescent="0.25">
      <c r="G105" s="4"/>
      <c r="I105" s="184" t="s">
        <v>368</v>
      </c>
      <c r="J105" s="265"/>
      <c r="K105" s="265"/>
      <c r="L105" s="265"/>
      <c r="M105" s="382">
        <v>3</v>
      </c>
      <c r="N105" s="382"/>
      <c r="O105" s="382"/>
      <c r="P105" s="265">
        <f>M105</f>
        <v>3</v>
      </c>
      <c r="Q105" s="265"/>
      <c r="R105" s="265">
        <f>P105</f>
        <v>3</v>
      </c>
      <c r="S105" s="236"/>
      <c r="X105" s="191"/>
      <c r="Y105" s="191"/>
      <c r="Z105" s="191"/>
      <c r="AW105" t="s">
        <v>330</v>
      </c>
      <c r="AY105">
        <v>2017</v>
      </c>
      <c r="BA105" t="str">
        <f t="shared" si="67"/>
        <v>Juin 2017</v>
      </c>
    </row>
    <row r="106" spans="2:53" x14ac:dyDescent="0.25">
      <c r="G106" s="4"/>
      <c r="I106" s="187" t="s">
        <v>369</v>
      </c>
      <c r="J106" s="266"/>
      <c r="K106" s="266"/>
      <c r="L106" s="266"/>
      <c r="M106" s="383">
        <f>P93</f>
        <v>758</v>
      </c>
      <c r="N106" s="383"/>
      <c r="O106" s="383"/>
      <c r="P106" s="266">
        <f>R93</f>
        <v>839</v>
      </c>
      <c r="Q106" s="266"/>
      <c r="R106" s="266">
        <f>Z93</f>
        <v>896</v>
      </c>
      <c r="S106" s="124"/>
      <c r="X106" s="191"/>
      <c r="Y106" s="191"/>
      <c r="Z106" s="191"/>
      <c r="AB106" s="231"/>
      <c r="AR106" s="231"/>
      <c r="AS106" s="231"/>
      <c r="AT106" s="231"/>
    </row>
    <row r="107" spans="2:53" x14ac:dyDescent="0.25">
      <c r="G107" s="4"/>
      <c r="I107" s="187" t="s">
        <v>370</v>
      </c>
      <c r="J107" s="266"/>
      <c r="K107" s="266"/>
      <c r="L107" s="266"/>
      <c r="M107" s="378">
        <f>M106/M105</f>
        <v>252.66666666666666</v>
      </c>
      <c r="N107" s="378"/>
      <c r="O107" s="378"/>
      <c r="P107" s="261">
        <f>P106/P105</f>
        <v>279.66666666666669</v>
      </c>
      <c r="Q107" s="266"/>
      <c r="R107" s="261">
        <f>R106/R105</f>
        <v>298.66666666666669</v>
      </c>
      <c r="S107" s="124"/>
      <c r="X107" s="191"/>
      <c r="Y107" s="191"/>
      <c r="Z107" s="191"/>
      <c r="AB107" s="231"/>
      <c r="AR107" s="231"/>
      <c r="AS107" s="231"/>
      <c r="AT107" s="231"/>
      <c r="AW107" t="s">
        <v>331</v>
      </c>
      <c r="AY107">
        <v>2017</v>
      </c>
      <c r="BA107" t="str">
        <f>AW107&amp;" "&amp;AY107</f>
        <v>Juillet 2017</v>
      </c>
    </row>
    <row r="108" spans="2:53" x14ac:dyDescent="0.25">
      <c r="G108" s="4"/>
      <c r="I108" s="187" t="s">
        <v>371</v>
      </c>
      <c r="J108" s="266"/>
      <c r="K108" s="266"/>
      <c r="L108" s="266"/>
      <c r="M108" s="378">
        <f>M107/9</f>
        <v>28.074074074074073</v>
      </c>
      <c r="N108" s="378"/>
      <c r="O108" s="378"/>
      <c r="P108" s="261">
        <f>P107/9</f>
        <v>31.074074074074076</v>
      </c>
      <c r="Q108" s="266"/>
      <c r="R108" s="261">
        <f>R107/9</f>
        <v>33.18518518518519</v>
      </c>
      <c r="S108" s="124"/>
      <c r="X108" s="191"/>
      <c r="Y108" s="191"/>
      <c r="Z108" s="191"/>
      <c r="AB108" s="231"/>
      <c r="AR108" s="231"/>
      <c r="AS108" s="231"/>
      <c r="AT108" s="231"/>
      <c r="AW108" t="s">
        <v>332</v>
      </c>
      <c r="AY108">
        <v>2017</v>
      </c>
      <c r="BA108" t="str">
        <f>AW108&amp;" "&amp;AY108</f>
        <v>Aout 2017</v>
      </c>
    </row>
    <row r="109" spans="2:53" x14ac:dyDescent="0.25">
      <c r="G109" s="4"/>
      <c r="I109" s="187" t="s">
        <v>372</v>
      </c>
      <c r="J109" s="266"/>
      <c r="K109" s="266"/>
      <c r="L109" s="266"/>
      <c r="M109" s="378">
        <f>M108/4</f>
        <v>7.0185185185185182</v>
      </c>
      <c r="N109" s="378"/>
      <c r="O109" s="378"/>
      <c r="P109" s="261">
        <f>P108/4</f>
        <v>7.768518518518519</v>
      </c>
      <c r="Q109" s="266"/>
      <c r="R109" s="261">
        <f>R108/4</f>
        <v>8.2962962962962976</v>
      </c>
      <c r="S109" s="124"/>
      <c r="X109" s="191"/>
      <c r="Y109" s="191"/>
      <c r="Z109" s="191"/>
      <c r="AB109" s="231"/>
      <c r="AR109" s="231"/>
      <c r="AS109" s="231"/>
      <c r="AT109" s="231"/>
      <c r="AW109" t="s">
        <v>325</v>
      </c>
      <c r="AY109">
        <v>2017</v>
      </c>
      <c r="BA109" t="str">
        <f>AW109&amp;" "&amp;AY109</f>
        <v>Septembre 2017</v>
      </c>
    </row>
    <row r="110" spans="2:53" x14ac:dyDescent="0.25">
      <c r="G110" s="4"/>
      <c r="I110" s="187" t="s">
        <v>373</v>
      </c>
      <c r="J110" s="266"/>
      <c r="K110" s="266"/>
      <c r="L110" s="266"/>
      <c r="M110" s="378">
        <f>M109/3</f>
        <v>2.3395061728395059</v>
      </c>
      <c r="N110" s="378"/>
      <c r="O110" s="378"/>
      <c r="P110" s="261">
        <f>P109/3</f>
        <v>2.5895061728395063</v>
      </c>
      <c r="Q110" s="266"/>
      <c r="R110" s="261">
        <f>R109/3</f>
        <v>2.7654320987654324</v>
      </c>
      <c r="S110" s="124"/>
      <c r="X110" s="191"/>
      <c r="Y110" s="191"/>
      <c r="Z110" s="191"/>
      <c r="AB110" s="231"/>
      <c r="AR110" s="231"/>
      <c r="AS110" s="231"/>
      <c r="AT110" s="231"/>
      <c r="AW110" t="s">
        <v>333</v>
      </c>
      <c r="AY110">
        <v>2017</v>
      </c>
      <c r="BA110" t="str">
        <f>AW110&amp;" "&amp;AY110</f>
        <v>Novembre 2017</v>
      </c>
    </row>
    <row r="111" spans="2:53" x14ac:dyDescent="0.25">
      <c r="G111" s="4"/>
      <c r="I111" s="188"/>
      <c r="J111" s="209"/>
      <c r="K111" s="209"/>
      <c r="L111" s="209"/>
      <c r="M111" s="113"/>
      <c r="N111" s="113"/>
      <c r="O111" s="113"/>
      <c r="P111" s="209"/>
      <c r="Q111" s="209"/>
      <c r="R111" s="113"/>
      <c r="S111" s="235"/>
      <c r="X111" s="191"/>
      <c r="Y111" s="191"/>
      <c r="Z111" s="191"/>
      <c r="AB111" s="231"/>
      <c r="AR111" s="231"/>
      <c r="AS111" s="231"/>
      <c r="AT111" s="231"/>
      <c r="AW111" t="s">
        <v>334</v>
      </c>
      <c r="AY111">
        <v>2017</v>
      </c>
      <c r="BA111" t="str">
        <f>AW111&amp;" "&amp;AY111</f>
        <v>Décembre 2017</v>
      </c>
    </row>
    <row r="112" spans="2:53" x14ac:dyDescent="0.25">
      <c r="G112" s="4"/>
      <c r="X112" s="191"/>
      <c r="Y112" s="191"/>
      <c r="Z112" s="191"/>
      <c r="AB112" s="231"/>
      <c r="AR112" s="231"/>
      <c r="AS112" s="231"/>
      <c r="AT112" s="231"/>
    </row>
    <row r="113" spans="2:62" x14ac:dyDescent="0.25">
      <c r="G113" s="266"/>
      <c r="I113" s="281" t="s">
        <v>397</v>
      </c>
      <c r="J113" s="372" t="s">
        <v>398</v>
      </c>
      <c r="K113" s="372" t="s">
        <v>399</v>
      </c>
      <c r="L113" s="372" t="s">
        <v>400</v>
      </c>
      <c r="M113" s="232"/>
      <c r="N113" s="232"/>
      <c r="O113" s="283" t="s">
        <v>27</v>
      </c>
      <c r="P113" s="372" t="s">
        <v>401</v>
      </c>
      <c r="Q113" s="372"/>
      <c r="R113" s="282" t="s">
        <v>119</v>
      </c>
      <c r="S113" s="236"/>
      <c r="X113" s="191"/>
      <c r="Y113" s="191"/>
      <c r="AA113" s="266"/>
      <c r="AB113" s="270"/>
      <c r="AR113" s="270"/>
      <c r="AS113" s="270"/>
      <c r="AT113" s="270"/>
    </row>
    <row r="114" spans="2:62" x14ac:dyDescent="0.25">
      <c r="B114" s="359"/>
      <c r="C114" s="359"/>
      <c r="D114" s="359"/>
      <c r="G114" s="358"/>
      <c r="H114" s="358"/>
      <c r="I114" s="284" t="s">
        <v>413</v>
      </c>
      <c r="J114" s="373">
        <f>+AB89</f>
        <v>40.5</v>
      </c>
      <c r="K114" s="373">
        <f>+AB90</f>
        <v>63</v>
      </c>
      <c r="L114" s="373">
        <f>+AB91</f>
        <v>40</v>
      </c>
      <c r="M114" s="3"/>
      <c r="N114" s="3"/>
      <c r="O114" s="3">
        <f>L115+L116</f>
        <v>252.5</v>
      </c>
      <c r="P114" s="373">
        <f>Z96</f>
        <v>758</v>
      </c>
      <c r="Q114" s="373"/>
      <c r="R114" s="373">
        <f>Z97</f>
        <v>839</v>
      </c>
      <c r="S114" s="124"/>
      <c r="X114" s="191"/>
      <c r="Y114" s="191"/>
      <c r="Z114" s="191"/>
      <c r="AA114" s="358"/>
      <c r="AB114" s="359"/>
      <c r="AC114" s="359"/>
      <c r="AD114" s="359"/>
      <c r="AR114" s="359"/>
      <c r="AS114" s="359"/>
      <c r="AT114" s="359"/>
    </row>
    <row r="115" spans="2:62" x14ac:dyDescent="0.25">
      <c r="B115" s="359"/>
      <c r="C115" s="359"/>
      <c r="D115" s="359"/>
      <c r="G115" s="358"/>
      <c r="H115" s="358"/>
      <c r="I115" s="374" t="s">
        <v>471</v>
      </c>
      <c r="J115" s="375" t="s">
        <v>319</v>
      </c>
      <c r="K115" s="376" t="s">
        <v>474</v>
      </c>
      <c r="L115" s="377">
        <f>+AB93</f>
        <v>143.5</v>
      </c>
      <c r="M115" s="3"/>
      <c r="N115" s="3"/>
      <c r="O115" s="377">
        <f>O114</f>
        <v>252.5</v>
      </c>
      <c r="P115" s="280">
        <f>O115/P114</f>
        <v>0.33311345646437995</v>
      </c>
      <c r="Q115" s="373"/>
      <c r="R115" s="280">
        <f>O115/R114</f>
        <v>0.30095351609058402</v>
      </c>
      <c r="S115" s="124"/>
      <c r="X115" s="191"/>
      <c r="Y115" s="191"/>
      <c r="Z115" s="191"/>
      <c r="AA115" s="358"/>
      <c r="AB115" s="359"/>
      <c r="AC115" s="359"/>
      <c r="AD115" s="359"/>
      <c r="AR115" s="359"/>
      <c r="AS115" s="359"/>
      <c r="AT115" s="359"/>
    </row>
    <row r="116" spans="2:62" x14ac:dyDescent="0.25">
      <c r="B116" s="359"/>
      <c r="C116" s="359"/>
      <c r="D116" s="359"/>
      <c r="G116" s="358"/>
      <c r="H116" s="358"/>
      <c r="I116" s="188" t="s">
        <v>472</v>
      </c>
      <c r="J116" s="209" t="s">
        <v>473</v>
      </c>
      <c r="K116" s="209" t="s">
        <v>474</v>
      </c>
      <c r="L116" s="113">
        <f>+AB94</f>
        <v>109</v>
      </c>
      <c r="M116" s="113"/>
      <c r="N116" s="113">
        <f>L115+L116</f>
        <v>252.5</v>
      </c>
      <c r="O116" s="113">
        <f>L115</f>
        <v>143.5</v>
      </c>
      <c r="P116" s="285">
        <f>O116/P114</f>
        <v>0.18931398416886544</v>
      </c>
      <c r="Q116" s="209"/>
      <c r="R116" s="286">
        <f>O116/R114</f>
        <v>0.17103694874851014</v>
      </c>
      <c r="S116" s="235"/>
      <c r="X116" s="191"/>
      <c r="Y116" s="191"/>
      <c r="Z116" s="191"/>
      <c r="AA116" s="358"/>
      <c r="AB116" s="359"/>
      <c r="AC116" s="359"/>
      <c r="AD116" s="359"/>
      <c r="AR116" s="359"/>
      <c r="AS116" s="359"/>
      <c r="AT116" s="359"/>
    </row>
    <row r="117" spans="2:62" x14ac:dyDescent="0.25">
      <c r="B117" s="359"/>
      <c r="C117" s="359"/>
      <c r="D117" s="359"/>
      <c r="G117" s="358"/>
      <c r="H117" s="358"/>
      <c r="J117" s="359"/>
      <c r="K117" s="359"/>
      <c r="L117" s="359"/>
      <c r="P117" s="359"/>
      <c r="Q117" s="359"/>
      <c r="X117" s="191"/>
      <c r="Y117" s="191"/>
      <c r="Z117" s="191"/>
      <c r="AA117" s="358"/>
      <c r="AB117" s="359"/>
      <c r="AC117" s="359"/>
      <c r="AD117" s="359"/>
      <c r="AR117" s="359"/>
      <c r="AS117" s="359"/>
      <c r="AT117" s="359"/>
    </row>
    <row r="118" spans="2:62" x14ac:dyDescent="0.25">
      <c r="B118" s="359"/>
      <c r="C118" s="359"/>
      <c r="D118" s="359"/>
      <c r="G118" s="358"/>
      <c r="H118" s="358"/>
      <c r="I118" s="184" t="s">
        <v>404</v>
      </c>
      <c r="J118" s="372"/>
      <c r="K118" s="372"/>
      <c r="L118" s="232">
        <f>M106</f>
        <v>758</v>
      </c>
      <c r="M118" s="232"/>
      <c r="N118" s="232">
        <f>M106/2</f>
        <v>379</v>
      </c>
      <c r="O118" s="232">
        <f>N118/9</f>
        <v>42.111111111111114</v>
      </c>
      <c r="P118" s="372">
        <f>O118/4</f>
        <v>10.527777777777779</v>
      </c>
      <c r="Q118" s="372">
        <f>P118/3</f>
        <v>3.5092592592592595</v>
      </c>
      <c r="R118" s="232"/>
      <c r="S118" s="236"/>
      <c r="X118" s="191"/>
      <c r="Y118" s="191"/>
      <c r="Z118" s="191"/>
      <c r="AA118" s="358"/>
      <c r="AB118" s="359"/>
      <c r="AC118" s="359"/>
      <c r="AD118" s="359"/>
      <c r="AR118" s="359"/>
      <c r="AS118" s="359"/>
      <c r="AT118" s="359"/>
    </row>
    <row r="119" spans="2:62" x14ac:dyDescent="0.25">
      <c r="B119" s="359"/>
      <c r="C119" s="359"/>
      <c r="D119" s="359"/>
      <c r="G119" s="358"/>
      <c r="H119" s="358"/>
      <c r="I119" s="187"/>
      <c r="J119" s="358"/>
      <c r="K119" s="358"/>
      <c r="L119" s="358"/>
      <c r="M119" s="3"/>
      <c r="N119" s="184"/>
      <c r="O119" s="232"/>
      <c r="P119" s="177"/>
      <c r="Q119" s="360" t="s">
        <v>394</v>
      </c>
      <c r="R119" s="3"/>
      <c r="S119" s="124"/>
      <c r="X119" s="191"/>
      <c r="Y119" s="191"/>
      <c r="Z119" s="191"/>
      <c r="AA119" s="358"/>
      <c r="AB119" s="359"/>
      <c r="AC119" s="359"/>
      <c r="AD119" s="359"/>
      <c r="AR119" s="359"/>
      <c r="AS119" s="359"/>
      <c r="AT119" s="359"/>
    </row>
    <row r="120" spans="2:62" x14ac:dyDescent="0.25">
      <c r="B120" s="359"/>
      <c r="C120" s="359"/>
      <c r="D120" s="359"/>
      <c r="G120" s="358"/>
      <c r="H120" s="358"/>
      <c r="I120" s="187"/>
      <c r="J120" s="358"/>
      <c r="K120" s="358"/>
      <c r="L120" s="358"/>
      <c r="M120" s="3"/>
      <c r="N120" s="188"/>
      <c r="O120" s="113"/>
      <c r="P120" s="178"/>
      <c r="Q120" s="362" t="s">
        <v>477</v>
      </c>
      <c r="R120" s="358" t="s">
        <v>392</v>
      </c>
      <c r="S120" s="93" t="s">
        <v>393</v>
      </c>
      <c r="X120" s="191"/>
      <c r="Y120" s="191"/>
      <c r="Z120" s="191"/>
      <c r="AA120" s="358"/>
      <c r="AB120" s="359"/>
      <c r="AC120" s="359"/>
      <c r="AD120" s="359"/>
      <c r="AR120" s="359"/>
      <c r="AS120" s="359"/>
      <c r="AT120" s="359"/>
    </row>
    <row r="121" spans="2:62" x14ac:dyDescent="0.25">
      <c r="B121" s="359"/>
      <c r="C121" s="359"/>
      <c r="D121" s="359"/>
      <c r="G121" s="358"/>
      <c r="H121" s="358"/>
      <c r="I121" s="187" t="str">
        <f>I11</f>
        <v>Equation du premier degré</v>
      </c>
      <c r="J121" s="358"/>
      <c r="K121" s="358"/>
      <c r="L121" s="358"/>
      <c r="M121" s="3"/>
      <c r="N121" s="360">
        <f>O11</f>
        <v>7</v>
      </c>
      <c r="O121" s="184"/>
      <c r="P121" s="177">
        <f>P11</f>
        <v>44</v>
      </c>
      <c r="Q121" s="360"/>
      <c r="R121" s="3">
        <v>44</v>
      </c>
      <c r="S121" s="124">
        <v>0</v>
      </c>
      <c r="X121" s="191"/>
      <c r="Y121" s="191"/>
      <c r="Z121" s="191"/>
      <c r="AA121" s="358"/>
      <c r="AB121" s="359"/>
      <c r="AC121" s="359"/>
      <c r="AD121" s="359"/>
      <c r="AR121" s="359"/>
      <c r="AS121" s="359"/>
      <c r="AT121" s="359"/>
    </row>
    <row r="122" spans="2:62" x14ac:dyDescent="0.25">
      <c r="B122" s="359"/>
      <c r="C122" s="359"/>
      <c r="D122" s="359"/>
      <c r="G122" s="358"/>
      <c r="H122" s="358"/>
      <c r="I122" s="187" t="str">
        <f>I19</f>
        <v>Système d’équation 3.3 (15 formes ¹ )</v>
      </c>
      <c r="J122" s="358"/>
      <c r="K122" s="358"/>
      <c r="L122" s="358"/>
      <c r="M122" s="3"/>
      <c r="N122" s="361">
        <f>O19</f>
        <v>11</v>
      </c>
      <c r="O122" s="187"/>
      <c r="P122" s="93">
        <f>P19</f>
        <v>15</v>
      </c>
      <c r="Q122" s="361">
        <v>4</v>
      </c>
      <c r="R122" s="3">
        <v>15</v>
      </c>
      <c r="S122" s="124">
        <v>10</v>
      </c>
      <c r="X122" s="191"/>
      <c r="Y122" s="191"/>
      <c r="Z122" s="191"/>
      <c r="AA122" s="358"/>
      <c r="AB122" s="359"/>
      <c r="AC122" s="359"/>
      <c r="AD122" s="359"/>
      <c r="AR122" s="359"/>
      <c r="AS122" s="359"/>
      <c r="AT122" s="359"/>
    </row>
    <row r="123" spans="2:62" x14ac:dyDescent="0.25">
      <c r="B123" s="359"/>
      <c r="C123" s="359"/>
      <c r="D123" s="359"/>
      <c r="G123" s="358"/>
      <c r="H123" s="358"/>
      <c r="I123" s="187" t="str">
        <f>I53</f>
        <v>différentielle nième (44) ; (Formul G &amp; listes)</v>
      </c>
      <c r="J123" s="358"/>
      <c r="K123" s="358"/>
      <c r="L123" s="358"/>
      <c r="M123" s="3"/>
      <c r="N123" s="361">
        <f>O53</f>
        <v>9</v>
      </c>
      <c r="O123" s="187">
        <v>44</v>
      </c>
      <c r="P123" s="93">
        <f>P53</f>
        <v>29</v>
      </c>
      <c r="Q123" s="361"/>
      <c r="R123" s="3">
        <v>29</v>
      </c>
      <c r="S123" s="124">
        <v>10</v>
      </c>
      <c r="X123" s="191"/>
      <c r="Y123" s="191"/>
      <c r="Z123" s="191"/>
      <c r="AA123" s="358"/>
      <c r="AB123" s="359"/>
      <c r="AC123" s="359"/>
      <c r="AD123" s="359"/>
      <c r="AR123" s="359"/>
      <c r="AS123" s="359"/>
      <c r="AT123" s="359"/>
    </row>
    <row r="124" spans="2:62" x14ac:dyDescent="0.25">
      <c r="B124" s="359"/>
      <c r="C124" s="359"/>
      <c r="D124" s="359"/>
      <c r="G124" s="358"/>
      <c r="H124" s="358"/>
      <c r="I124" s="187" t="str">
        <f>I60</f>
        <v>Intégrales usuelles de fonction de référence</v>
      </c>
      <c r="J124" s="358"/>
      <c r="K124" s="358"/>
      <c r="L124" s="358"/>
      <c r="M124" s="3"/>
      <c r="N124" s="361">
        <f>O60</f>
        <v>11</v>
      </c>
      <c r="O124" s="187"/>
      <c r="P124" s="93">
        <f>P60</f>
        <v>104</v>
      </c>
      <c r="Q124" s="361">
        <v>53</v>
      </c>
      <c r="R124" s="3">
        <f>P124-23</f>
        <v>81</v>
      </c>
      <c r="S124" s="124">
        <v>20</v>
      </c>
      <c r="X124" s="191"/>
      <c r="Y124" s="191"/>
      <c r="Z124" s="191"/>
      <c r="AA124" s="358"/>
      <c r="AB124" s="359"/>
      <c r="AC124" s="359"/>
      <c r="AD124" s="359"/>
      <c r="AR124" s="359"/>
      <c r="AS124" s="359"/>
      <c r="AT124" s="359"/>
    </row>
    <row r="125" spans="2:62" x14ac:dyDescent="0.25">
      <c r="B125" s="359"/>
      <c r="C125" s="359"/>
      <c r="D125" s="359"/>
      <c r="G125" s="358"/>
      <c r="H125" s="358"/>
      <c r="I125" s="187" t="str">
        <f>I35</f>
        <v>Trigonométrie circulaire</v>
      </c>
      <c r="J125" s="358"/>
      <c r="K125" s="358"/>
      <c r="L125" s="358"/>
      <c r="M125" s="3"/>
      <c r="N125" s="362">
        <f>O35</f>
        <v>5</v>
      </c>
      <c r="O125" s="188"/>
      <c r="P125" s="178">
        <f>P35</f>
        <v>106</v>
      </c>
      <c r="Q125" s="362">
        <v>57</v>
      </c>
      <c r="R125" s="3"/>
      <c r="S125" s="124"/>
      <c r="X125" s="191"/>
      <c r="Y125" s="191"/>
      <c r="Z125" s="191"/>
      <c r="AA125" s="358"/>
      <c r="AB125" s="359"/>
      <c r="AC125" s="359"/>
      <c r="AD125" s="359"/>
      <c r="AR125" s="359"/>
      <c r="AS125" s="359"/>
      <c r="AT125" s="359"/>
    </row>
    <row r="126" spans="2:62" x14ac:dyDescent="0.25">
      <c r="B126" s="359"/>
      <c r="C126" s="359"/>
      <c r="D126" s="359"/>
      <c r="G126" s="358"/>
      <c r="H126" s="358"/>
      <c r="I126" s="188"/>
      <c r="J126" s="209"/>
      <c r="K126" s="209"/>
      <c r="L126" s="209"/>
      <c r="M126" s="113"/>
      <c r="N126" s="209"/>
      <c r="O126" s="113"/>
      <c r="P126" s="209"/>
      <c r="Q126" s="209"/>
      <c r="R126" s="113"/>
      <c r="S126" s="235"/>
      <c r="X126" s="191"/>
      <c r="Y126" s="191"/>
      <c r="Z126" s="191"/>
      <c r="AA126" s="358"/>
      <c r="AB126" s="359"/>
      <c r="AC126" s="359"/>
      <c r="AD126" s="359"/>
      <c r="AR126" s="359"/>
      <c r="AS126" s="359"/>
      <c r="AT126" s="359"/>
    </row>
    <row r="127" spans="2:62" x14ac:dyDescent="0.25">
      <c r="G127" s="300"/>
      <c r="J127" s="256"/>
      <c r="K127" s="256"/>
      <c r="L127" s="256"/>
      <c r="P127" s="256"/>
      <c r="Q127" s="256"/>
      <c r="X127" s="191"/>
      <c r="Y127" s="191"/>
      <c r="Z127" s="191"/>
      <c r="AB127" s="231"/>
      <c r="AR127" s="231"/>
      <c r="AS127" s="231"/>
      <c r="AT127" s="231"/>
      <c r="AW127" t="s">
        <v>300</v>
      </c>
      <c r="AY127" s="1" t="s">
        <v>301</v>
      </c>
      <c r="AZ127" t="s">
        <v>302</v>
      </c>
      <c r="BA127" t="s">
        <v>303</v>
      </c>
      <c r="BB127" s="1" t="s">
        <v>304</v>
      </c>
      <c r="BC127" s="1" t="s">
        <v>307</v>
      </c>
      <c r="BD127" s="1" t="s">
        <v>308</v>
      </c>
      <c r="BE127" s="32" t="s">
        <v>27</v>
      </c>
      <c r="BF127" s="134"/>
      <c r="BG127" s="134"/>
      <c r="BH127" s="134"/>
      <c r="BI127" s="134"/>
      <c r="BJ127" s="134"/>
    </row>
    <row r="128" spans="2:62" x14ac:dyDescent="0.25">
      <c r="E128">
        <v>16</v>
      </c>
      <c r="F128">
        <f>E128</f>
        <v>16</v>
      </c>
      <c r="G128" s="300"/>
      <c r="I128" s="184" t="s">
        <v>417</v>
      </c>
      <c r="J128" s="305">
        <f>F128</f>
        <v>16</v>
      </c>
      <c r="K128" s="312" t="s">
        <v>416</v>
      </c>
      <c r="L128" s="305"/>
      <c r="M128" s="232"/>
      <c r="N128" s="232"/>
      <c r="O128" s="232"/>
      <c r="P128" s="305"/>
      <c r="Q128" s="305"/>
      <c r="R128" s="232"/>
      <c r="S128" s="236"/>
      <c r="X128" s="191"/>
      <c r="Y128" s="191"/>
      <c r="Z128" s="191"/>
      <c r="AA128" s="253"/>
      <c r="AB128" s="254"/>
      <c r="AR128" s="254"/>
      <c r="AS128" s="254"/>
      <c r="AT128" s="254"/>
      <c r="AY128" s="254"/>
      <c r="BB128" s="254"/>
      <c r="BC128" s="254"/>
      <c r="BD128" s="254"/>
      <c r="BE128" s="32"/>
      <c r="BF128" s="134"/>
      <c r="BG128" s="134"/>
      <c r="BH128" s="134"/>
      <c r="BI128" s="134"/>
      <c r="BJ128" s="134"/>
    </row>
    <row r="129" spans="4:62" x14ac:dyDescent="0.25">
      <c r="E129">
        <v>64</v>
      </c>
      <c r="F129">
        <f>E129-E128</f>
        <v>48</v>
      </c>
      <c r="G129" s="300"/>
      <c r="I129" s="187" t="s">
        <v>0</v>
      </c>
      <c r="J129" s="306">
        <f>F129</f>
        <v>48</v>
      </c>
      <c r="K129" s="311" t="s">
        <v>416</v>
      </c>
      <c r="L129" s="306"/>
      <c r="M129" s="3"/>
      <c r="N129" s="3">
        <f>J129/2</f>
        <v>24</v>
      </c>
      <c r="O129" s="3"/>
      <c r="P129" s="306"/>
      <c r="Q129" s="306"/>
      <c r="R129" s="3"/>
      <c r="S129" s="124"/>
      <c r="X129" s="191"/>
      <c r="Y129" s="191"/>
      <c r="Z129" s="191"/>
      <c r="AA129" s="255"/>
      <c r="AB129" s="256"/>
      <c r="AR129" s="256"/>
      <c r="AS129" s="256"/>
      <c r="AT129" s="256"/>
      <c r="AY129" s="256"/>
      <c r="BB129" s="256"/>
      <c r="BC129" s="256"/>
      <c r="BD129" s="256"/>
      <c r="BE129" s="32"/>
      <c r="BF129" s="134"/>
      <c r="BG129" s="134"/>
      <c r="BH129" s="134"/>
      <c r="BI129" s="134"/>
      <c r="BJ129" s="134"/>
    </row>
    <row r="130" spans="4:62" x14ac:dyDescent="0.25">
      <c r="E130">
        <v>82</v>
      </c>
      <c r="F130">
        <f>E130-E129</f>
        <v>18</v>
      </c>
      <c r="G130" s="300"/>
      <c r="I130" s="187" t="s">
        <v>7</v>
      </c>
      <c r="J130" s="306">
        <f>F130</f>
        <v>18</v>
      </c>
      <c r="K130" s="311" t="s">
        <v>416</v>
      </c>
      <c r="L130" s="306"/>
      <c r="M130" s="3"/>
      <c r="N130" s="3"/>
      <c r="O130" s="3"/>
      <c r="P130" s="306"/>
      <c r="Q130" s="306"/>
      <c r="R130" s="3"/>
      <c r="S130" s="124"/>
      <c r="X130" s="191"/>
      <c r="Y130" s="191"/>
      <c r="Z130" s="191"/>
      <c r="AA130" s="255"/>
      <c r="AB130" s="256"/>
      <c r="AR130" s="256"/>
      <c r="AS130" s="256"/>
      <c r="AT130" s="256"/>
      <c r="AY130" s="256"/>
      <c r="BB130" s="256"/>
      <c r="BC130" s="256"/>
      <c r="BD130" s="256"/>
      <c r="BE130" s="32"/>
      <c r="BF130" s="134"/>
      <c r="BG130" s="134"/>
      <c r="BH130" s="134"/>
      <c r="BI130" s="134"/>
      <c r="BJ130" s="134"/>
    </row>
    <row r="131" spans="4:62" x14ac:dyDescent="0.25">
      <c r="E131">
        <v>133</v>
      </c>
      <c r="F131">
        <f>E131-E130</f>
        <v>51</v>
      </c>
      <c r="G131" s="253"/>
      <c r="I131" s="187" t="s">
        <v>3</v>
      </c>
      <c r="J131" s="306">
        <f>F131</f>
        <v>51</v>
      </c>
      <c r="K131" s="311" t="s">
        <v>416</v>
      </c>
      <c r="L131" s="306"/>
      <c r="M131" s="3"/>
      <c r="N131" s="3"/>
      <c r="O131" s="3"/>
      <c r="P131" s="306"/>
      <c r="Q131" s="306"/>
      <c r="R131" s="3"/>
      <c r="S131" s="124"/>
      <c r="AA131" s="255"/>
      <c r="AB131" s="256"/>
      <c r="AR131" s="256"/>
      <c r="AS131" s="256"/>
      <c r="AT131" s="256"/>
      <c r="AY131" s="256"/>
      <c r="BB131" s="256"/>
      <c r="BC131" s="256"/>
      <c r="BD131" s="256"/>
      <c r="BE131" s="32"/>
      <c r="BF131" s="134"/>
      <c r="BG131" s="134"/>
      <c r="BH131" s="134"/>
      <c r="BI131" s="134"/>
      <c r="BJ131" s="134"/>
    </row>
    <row r="132" spans="4:62" x14ac:dyDescent="0.25">
      <c r="E132">
        <v>168</v>
      </c>
      <c r="F132">
        <f>E132-E131</f>
        <v>35</v>
      </c>
      <c r="G132" s="4"/>
      <c r="I132" s="187" t="s">
        <v>420</v>
      </c>
      <c r="J132" s="306">
        <f>F132</f>
        <v>35</v>
      </c>
      <c r="K132" s="311" t="s">
        <v>416</v>
      </c>
      <c r="L132" s="306"/>
      <c r="M132" s="3"/>
      <c r="N132" s="3"/>
      <c r="O132" s="3"/>
      <c r="P132" s="306"/>
      <c r="Q132" s="306"/>
      <c r="R132" s="3"/>
      <c r="S132" s="124"/>
      <c r="AA132" s="300"/>
      <c r="AB132" s="301"/>
      <c r="AR132" s="301"/>
      <c r="AS132" s="301"/>
      <c r="AT132" s="301"/>
      <c r="AY132" s="301"/>
      <c r="BB132" s="301"/>
      <c r="BC132" s="301"/>
      <c r="BD132" s="301"/>
      <c r="BE132" s="32"/>
      <c r="BF132" s="134"/>
      <c r="BG132" s="134"/>
      <c r="BH132" s="134"/>
      <c r="BI132" s="134"/>
      <c r="BJ132" s="134"/>
    </row>
    <row r="133" spans="4:62" x14ac:dyDescent="0.25">
      <c r="G133" s="4"/>
      <c r="I133" s="187" t="s">
        <v>418</v>
      </c>
      <c r="J133" s="306"/>
      <c r="K133" s="306"/>
      <c r="L133" s="306"/>
      <c r="M133" s="3"/>
      <c r="N133" s="3"/>
      <c r="O133" s="3"/>
      <c r="P133" s="306"/>
      <c r="Q133" s="306"/>
      <c r="R133" s="3"/>
      <c r="S133" s="124"/>
      <c r="AA133" s="300"/>
      <c r="AB133" s="301"/>
      <c r="AR133" s="301"/>
      <c r="AS133" s="301"/>
      <c r="AT133" s="301"/>
      <c r="AY133" s="301"/>
      <c r="BB133" s="301"/>
      <c r="BC133" s="301"/>
      <c r="BD133" s="301"/>
      <c r="BE133" s="32"/>
      <c r="BF133" s="134"/>
      <c r="BG133" s="134"/>
      <c r="BH133" s="134"/>
      <c r="BI133" s="134"/>
      <c r="BJ133" s="134"/>
    </row>
    <row r="134" spans="4:62" x14ac:dyDescent="0.25">
      <c r="G134" s="4"/>
      <c r="I134" s="188" t="s">
        <v>419</v>
      </c>
      <c r="J134" s="209"/>
      <c r="K134" s="209"/>
      <c r="L134" s="209"/>
      <c r="M134" s="113"/>
      <c r="N134" s="113"/>
      <c r="O134" s="113"/>
      <c r="P134" s="209"/>
      <c r="Q134" s="209"/>
      <c r="R134" s="113"/>
      <c r="S134" s="235"/>
      <c r="AA134" s="300"/>
      <c r="AB134" s="301"/>
      <c r="AR134" s="301"/>
      <c r="AS134" s="301"/>
      <c r="AT134" s="301"/>
      <c r="AY134" s="301"/>
      <c r="BB134" s="301"/>
      <c r="BC134" s="301"/>
      <c r="BD134" s="301"/>
      <c r="BE134" s="32"/>
      <c r="BF134" s="134"/>
      <c r="BG134" s="134"/>
      <c r="BH134" s="134"/>
      <c r="BI134" s="134"/>
      <c r="BJ134" s="134"/>
    </row>
    <row r="135" spans="4:62" x14ac:dyDescent="0.25">
      <c r="G135" s="4"/>
      <c r="I135" s="313" t="s">
        <v>42</v>
      </c>
      <c r="J135" s="209">
        <f>SUM(J128:J134)</f>
        <v>168</v>
      </c>
      <c r="K135" s="314" t="s">
        <v>416</v>
      </c>
      <c r="L135" s="209"/>
      <c r="M135" s="113"/>
      <c r="N135" s="113"/>
      <c r="O135" s="113"/>
      <c r="P135" s="209"/>
      <c r="Q135" s="209"/>
      <c r="R135" s="113"/>
      <c r="S135" s="235"/>
      <c r="AA135" s="300"/>
      <c r="AB135" s="301"/>
      <c r="AR135" s="301"/>
      <c r="AS135" s="301"/>
      <c r="AT135" s="301"/>
      <c r="AY135" s="301"/>
      <c r="BB135" s="301"/>
      <c r="BC135" s="301"/>
      <c r="BD135" s="301"/>
      <c r="BE135" s="32"/>
      <c r="BF135" s="134"/>
      <c r="BG135" s="134"/>
      <c r="BH135" s="134"/>
      <c r="BI135" s="134"/>
      <c r="BJ135" s="134"/>
    </row>
    <row r="136" spans="4:62" x14ac:dyDescent="0.25">
      <c r="G136" s="4"/>
      <c r="AA136" s="300"/>
      <c r="AB136" s="301"/>
      <c r="AR136" s="301"/>
      <c r="AS136" s="301"/>
      <c r="AT136" s="301"/>
      <c r="AY136" s="301"/>
      <c r="BB136" s="301"/>
      <c r="BC136" s="301"/>
      <c r="BD136" s="301"/>
      <c r="BE136" s="32"/>
      <c r="BF136" s="134"/>
      <c r="BG136" s="134"/>
      <c r="BH136" s="134"/>
      <c r="BI136" s="134"/>
      <c r="BJ136" s="134"/>
    </row>
    <row r="137" spans="4:62" x14ac:dyDescent="0.25">
      <c r="D137" s="356">
        <v>2016</v>
      </c>
      <c r="E137">
        <v>2</v>
      </c>
      <c r="F137" t="s">
        <v>266</v>
      </c>
      <c r="G137" s="266"/>
      <c r="I137" s="184" t="s">
        <v>368</v>
      </c>
      <c r="J137" s="299"/>
      <c r="K137" s="299"/>
      <c r="L137" s="299"/>
      <c r="M137" s="399">
        <f>E146</f>
        <v>0.91666666666666663</v>
      </c>
      <c r="N137" s="382"/>
      <c r="O137" s="382"/>
      <c r="P137" s="367">
        <f>M137</f>
        <v>0.91666666666666663</v>
      </c>
      <c r="Q137" s="299"/>
      <c r="R137" s="367">
        <f>P137</f>
        <v>0.91666666666666663</v>
      </c>
      <c r="S137" s="236"/>
      <c r="AA137" s="300"/>
      <c r="AB137" s="301"/>
      <c r="AR137" s="301"/>
      <c r="AS137" s="301"/>
      <c r="AT137" s="301"/>
      <c r="AY137" s="301"/>
      <c r="BB137" s="301"/>
      <c r="BC137" s="301"/>
      <c r="BD137" s="301"/>
      <c r="BE137" s="32"/>
      <c r="BF137" s="134"/>
      <c r="BG137" s="134"/>
      <c r="BH137" s="134"/>
      <c r="BI137" s="134"/>
      <c r="BJ137" s="134"/>
    </row>
    <row r="138" spans="4:62" x14ac:dyDescent="0.25">
      <c r="D138" s="356">
        <v>2017</v>
      </c>
      <c r="E138">
        <v>6</v>
      </c>
      <c r="F138" t="s">
        <v>266</v>
      </c>
      <c r="G138" s="266"/>
      <c r="I138" s="187" t="s">
        <v>369</v>
      </c>
      <c r="J138" s="300"/>
      <c r="K138" s="300"/>
      <c r="L138" s="300"/>
      <c r="M138" s="383">
        <f>M106</f>
        <v>758</v>
      </c>
      <c r="N138" s="383"/>
      <c r="O138" s="383"/>
      <c r="P138" s="358">
        <f>P106</f>
        <v>839</v>
      </c>
      <c r="Q138" s="358"/>
      <c r="R138" s="358">
        <f>R106</f>
        <v>896</v>
      </c>
      <c r="S138" s="124"/>
      <c r="AA138" s="253"/>
      <c r="AB138" s="254"/>
      <c r="AR138" s="254"/>
      <c r="AS138" s="254"/>
      <c r="AT138" s="254"/>
      <c r="AY138" s="254"/>
      <c r="BB138" s="254"/>
      <c r="BC138" s="254"/>
      <c r="BD138" s="254"/>
      <c r="BE138" s="32"/>
      <c r="BF138" s="134"/>
      <c r="BG138" s="134"/>
      <c r="BH138" s="134"/>
      <c r="BI138" s="134"/>
      <c r="BJ138" s="134"/>
    </row>
    <row r="139" spans="4:62" x14ac:dyDescent="0.25">
      <c r="D139" s="356">
        <v>2018</v>
      </c>
      <c r="E139">
        <v>2</v>
      </c>
      <c r="F139" t="s">
        <v>266</v>
      </c>
      <c r="G139" s="4"/>
      <c r="I139" s="187" t="s">
        <v>370</v>
      </c>
      <c r="J139" s="300"/>
      <c r="K139" s="300"/>
      <c r="L139" s="300"/>
      <c r="M139" s="378">
        <f>M138/M137</f>
        <v>826.90909090909099</v>
      </c>
      <c r="N139" s="378"/>
      <c r="O139" s="378"/>
      <c r="P139" s="298">
        <f>P138/P137</f>
        <v>915.27272727272737</v>
      </c>
      <c r="Q139" s="300"/>
      <c r="R139" s="298">
        <f>R138/R137</f>
        <v>977.4545454545455</v>
      </c>
      <c r="S139" s="124"/>
      <c r="AV139">
        <v>8</v>
      </c>
      <c r="AW139" t="s">
        <v>305</v>
      </c>
      <c r="AY139" s="1"/>
      <c r="AZ139">
        <f>O28</f>
        <v>40.5</v>
      </c>
      <c r="BA139">
        <f>O78</f>
        <v>45</v>
      </c>
      <c r="BB139" s="1">
        <f>O44</f>
        <v>8</v>
      </c>
      <c r="BC139" s="1"/>
      <c r="BE139">
        <f>SUM(AZ139:BD139)</f>
        <v>93.5</v>
      </c>
      <c r="BF139" s="134">
        <f>BE139*AV139</f>
        <v>748</v>
      </c>
      <c r="BG139" s="134"/>
      <c r="BH139" s="134"/>
      <c r="BI139" s="134"/>
      <c r="BJ139" s="134"/>
    </row>
    <row r="140" spans="4:62" x14ac:dyDescent="0.25">
      <c r="D140" s="356">
        <v>2019</v>
      </c>
      <c r="E140">
        <v>1</v>
      </c>
      <c r="F140" t="s">
        <v>266</v>
      </c>
      <c r="G140" s="253"/>
      <c r="I140" s="187" t="s">
        <v>371</v>
      </c>
      <c r="J140" s="300"/>
      <c r="K140" s="300"/>
      <c r="L140" s="300"/>
      <c r="M140" s="378">
        <f>M139/9</f>
        <v>91.87878787878789</v>
      </c>
      <c r="N140" s="378"/>
      <c r="O140" s="378"/>
      <c r="P140" s="298">
        <f>P139/9</f>
        <v>101.6969696969697</v>
      </c>
      <c r="Q140" s="300"/>
      <c r="R140" s="298">
        <f>R139/9</f>
        <v>108.60606060606061</v>
      </c>
      <c r="S140" s="124"/>
      <c r="AV140">
        <v>7</v>
      </c>
      <c r="AW140" t="s">
        <v>310</v>
      </c>
      <c r="AY140" s="1"/>
      <c r="BB140" s="1"/>
      <c r="BC140" s="1"/>
      <c r="BE140">
        <f t="shared" ref="BE140:BE147" si="68">SUM(AZ140:BD140)</f>
        <v>0</v>
      </c>
      <c r="BF140" s="134">
        <f t="shared" ref="BF140:BF147" si="69">BE140*AV140</f>
        <v>0</v>
      </c>
      <c r="BG140" s="134"/>
      <c r="BH140" s="134"/>
      <c r="BI140" s="134"/>
      <c r="BJ140" s="134"/>
    </row>
    <row r="141" spans="4:62" x14ac:dyDescent="0.25">
      <c r="G141" s="255"/>
      <c r="I141" s="187" t="s">
        <v>372</v>
      </c>
      <c r="J141" s="300"/>
      <c r="K141" s="300"/>
      <c r="L141" s="300"/>
      <c r="M141" s="378">
        <f>M140/4</f>
        <v>22.969696969696972</v>
      </c>
      <c r="N141" s="378"/>
      <c r="O141" s="378"/>
      <c r="P141" s="298">
        <f>P140/4</f>
        <v>25.424242424242426</v>
      </c>
      <c r="Q141" s="300"/>
      <c r="R141" s="298">
        <f>R140/4</f>
        <v>27.151515151515152</v>
      </c>
      <c r="S141" s="124"/>
      <c r="AV141">
        <v>7</v>
      </c>
      <c r="AW141" t="s">
        <v>309</v>
      </c>
      <c r="AY141" s="1"/>
      <c r="BA141">
        <v>29</v>
      </c>
      <c r="BB141" s="1"/>
      <c r="BC141" s="1"/>
      <c r="BE141">
        <f t="shared" si="68"/>
        <v>29</v>
      </c>
      <c r="BF141" s="134">
        <f t="shared" si="69"/>
        <v>203</v>
      </c>
      <c r="BG141" s="134"/>
      <c r="BH141" s="134">
        <v>29</v>
      </c>
      <c r="BI141" s="134">
        <v>4</v>
      </c>
      <c r="BJ141" s="134">
        <f>BH141*BI141</f>
        <v>116</v>
      </c>
    </row>
    <row r="142" spans="4:62" x14ac:dyDescent="0.25">
      <c r="G142" s="255"/>
      <c r="I142" s="187" t="s">
        <v>373</v>
      </c>
      <c r="J142" s="300"/>
      <c r="K142" s="300"/>
      <c r="L142" s="300"/>
      <c r="M142" s="378">
        <f>M141/3</f>
        <v>7.6565656565656575</v>
      </c>
      <c r="N142" s="378"/>
      <c r="O142" s="378"/>
      <c r="P142" s="298">
        <f>P141/3</f>
        <v>8.4747474747474758</v>
      </c>
      <c r="Q142" s="300"/>
      <c r="R142" s="298">
        <f>R141/3</f>
        <v>9.0505050505050502</v>
      </c>
      <c r="S142" s="124"/>
      <c r="AV142">
        <v>6</v>
      </c>
      <c r="AW142" t="s">
        <v>311</v>
      </c>
      <c r="AY142" s="1"/>
      <c r="BB142" s="1"/>
      <c r="BC142" s="1"/>
      <c r="BE142">
        <f t="shared" si="68"/>
        <v>0</v>
      </c>
      <c r="BF142" s="134">
        <f t="shared" si="69"/>
        <v>0</v>
      </c>
      <c r="BG142" s="134"/>
      <c r="BH142" s="134"/>
      <c r="BI142" s="134"/>
      <c r="BJ142" s="134"/>
    </row>
    <row r="143" spans="4:62" x14ac:dyDescent="0.25">
      <c r="E143">
        <f>SUM(E137:E142)</f>
        <v>11</v>
      </c>
      <c r="G143" s="255"/>
      <c r="I143" s="188"/>
      <c r="J143" s="209"/>
      <c r="K143" s="209"/>
      <c r="L143" s="209"/>
      <c r="M143" s="113"/>
      <c r="N143" s="113"/>
      <c r="O143" s="113"/>
      <c r="P143" s="209"/>
      <c r="Q143" s="209"/>
      <c r="R143" s="113"/>
      <c r="S143" s="235"/>
      <c r="AV143">
        <v>5</v>
      </c>
      <c r="AW143" s="157">
        <v>0.1</v>
      </c>
      <c r="AX143" s="157"/>
      <c r="AY143" s="1"/>
      <c r="BA143" t="e">
        <f>#REF!</f>
        <v>#REF!</v>
      </c>
      <c r="BB143" s="1"/>
      <c r="BC143" s="1"/>
      <c r="BE143" t="e">
        <f t="shared" si="68"/>
        <v>#REF!</v>
      </c>
      <c r="BF143" s="134" t="e">
        <f t="shared" si="69"/>
        <v>#REF!</v>
      </c>
      <c r="BG143" s="134" t="e">
        <f>BE143*5</f>
        <v>#REF!</v>
      </c>
      <c r="BH143" s="134"/>
      <c r="BI143" s="134"/>
      <c r="BJ143" s="134"/>
    </row>
    <row r="144" spans="4:62" x14ac:dyDescent="0.25">
      <c r="E144">
        <v>12</v>
      </c>
      <c r="G144" s="255"/>
      <c r="AV144">
        <v>4</v>
      </c>
      <c r="AW144" s="157">
        <v>0.25</v>
      </c>
      <c r="AX144" s="157"/>
      <c r="AY144" s="1"/>
      <c r="BB144" s="1"/>
      <c r="BC144" s="1"/>
      <c r="BE144">
        <f t="shared" si="68"/>
        <v>0</v>
      </c>
      <c r="BF144" s="134">
        <f t="shared" si="69"/>
        <v>0</v>
      </c>
      <c r="BG144" s="134"/>
      <c r="BH144" s="134"/>
      <c r="BI144" s="134"/>
      <c r="BJ144" s="134"/>
    </row>
    <row r="145" spans="5:62" x14ac:dyDescent="0.25">
      <c r="E145">
        <f>E143/E144</f>
        <v>0.91666666666666663</v>
      </c>
      <c r="I145" t="s">
        <v>480</v>
      </c>
      <c r="Q145" s="371">
        <f>SUM(Q146:Q150)</f>
        <v>17</v>
      </c>
      <c r="Y145" s="384"/>
      <c r="Z145" s="384"/>
      <c r="AV145">
        <v>3</v>
      </c>
      <c r="AW145" s="157">
        <v>0.5</v>
      </c>
      <c r="AX145" s="157"/>
      <c r="AY145" s="1"/>
      <c r="BB145" s="1"/>
      <c r="BC145" s="1"/>
      <c r="BE145">
        <f t="shared" si="68"/>
        <v>0</v>
      </c>
      <c r="BF145" s="134">
        <f t="shared" si="69"/>
        <v>0</v>
      </c>
      <c r="BG145" s="134"/>
      <c r="BH145" s="134"/>
      <c r="BI145" s="134"/>
      <c r="BJ145" s="134"/>
    </row>
    <row r="146" spans="5:62" x14ac:dyDescent="0.25">
      <c r="E146" s="366">
        <f>E145</f>
        <v>0.91666666666666663</v>
      </c>
      <c r="I146" t="s">
        <v>417</v>
      </c>
      <c r="J146" s="371"/>
      <c r="K146" s="371"/>
      <c r="L146" s="371"/>
      <c r="N146">
        <f>P6</f>
        <v>7</v>
      </c>
      <c r="P146" s="371"/>
      <c r="Q146" s="371">
        <v>1</v>
      </c>
      <c r="R146">
        <f>N146/Q146</f>
        <v>7</v>
      </c>
      <c r="S146">
        <v>3</v>
      </c>
      <c r="V146" s="3">
        <f>R146/S146</f>
        <v>2.3333333333333335</v>
      </c>
      <c r="X146" s="134">
        <v>2</v>
      </c>
      <c r="Y146" s="384">
        <f>V146/X146</f>
        <v>1.1666666666666667</v>
      </c>
      <c r="Z146" s="384"/>
      <c r="AV146">
        <v>2</v>
      </c>
      <c r="AW146" s="157">
        <v>0.75</v>
      </c>
      <c r="AX146" s="157"/>
      <c r="AY146" s="1"/>
      <c r="BB146" s="1"/>
      <c r="BC146" s="1"/>
      <c r="BE146">
        <f t="shared" si="68"/>
        <v>0</v>
      </c>
      <c r="BF146" s="134">
        <f t="shared" si="69"/>
        <v>0</v>
      </c>
      <c r="BG146" s="134"/>
      <c r="BH146" s="134"/>
      <c r="BI146" s="134"/>
      <c r="BJ146" s="134"/>
    </row>
    <row r="147" spans="5:62" x14ac:dyDescent="0.25">
      <c r="I147" t="s">
        <v>0</v>
      </c>
      <c r="J147" s="371"/>
      <c r="K147" s="371"/>
      <c r="L147" s="371"/>
      <c r="N147">
        <f>P29-P6</f>
        <v>246</v>
      </c>
      <c r="P147" s="371">
        <f>N147</f>
        <v>246</v>
      </c>
      <c r="Q147" s="371">
        <v>4</v>
      </c>
      <c r="R147">
        <f>N147/Q147</f>
        <v>61.5</v>
      </c>
      <c r="S147">
        <v>4</v>
      </c>
      <c r="V147" s="3">
        <f>R147/S147</f>
        <v>15.375</v>
      </c>
      <c r="X147" s="134">
        <v>3</v>
      </c>
      <c r="Y147" s="134">
        <f>V147/X147</f>
        <v>5.125</v>
      </c>
      <c r="AV147">
        <v>1</v>
      </c>
      <c r="AW147" t="s">
        <v>306</v>
      </c>
      <c r="AY147" s="1"/>
      <c r="BB147" s="1"/>
      <c r="BC147" s="1"/>
      <c r="BE147">
        <f t="shared" si="68"/>
        <v>0</v>
      </c>
      <c r="BF147" s="134">
        <f t="shared" si="69"/>
        <v>0</v>
      </c>
      <c r="BG147" s="134"/>
      <c r="BH147" s="134"/>
      <c r="BI147" s="134"/>
      <c r="BJ147" s="134"/>
    </row>
    <row r="148" spans="5:62" x14ac:dyDescent="0.25">
      <c r="I148" t="s">
        <v>7</v>
      </c>
      <c r="J148" s="371"/>
      <c r="K148" s="371"/>
      <c r="L148" s="371"/>
      <c r="N148">
        <f>P79</f>
        <v>342</v>
      </c>
      <c r="P148" s="371"/>
      <c r="Q148" s="371">
        <v>4</v>
      </c>
      <c r="R148">
        <f>N148/Q148</f>
        <v>85.5</v>
      </c>
      <c r="S148">
        <v>4</v>
      </c>
      <c r="V148" s="3">
        <f t="shared" ref="V148:V149" si="70">R148/S148</f>
        <v>21.375</v>
      </c>
      <c r="X148" s="134">
        <v>3</v>
      </c>
      <c r="Y148" s="134">
        <f t="shared" ref="Y148:Y149" si="71">V148/X148</f>
        <v>7.125</v>
      </c>
      <c r="AY148" s="1"/>
      <c r="BB148" s="1"/>
      <c r="BC148" s="1"/>
      <c r="BF148" s="134" t="e">
        <f>SUM(BF139:BF147)</f>
        <v>#REF!</v>
      </c>
      <c r="BG148" s="134"/>
      <c r="BH148" s="134"/>
      <c r="BI148" s="134"/>
      <c r="BJ148" s="134"/>
    </row>
    <row r="149" spans="5:62" x14ac:dyDescent="0.25">
      <c r="I149" t="s">
        <v>478</v>
      </c>
      <c r="J149" s="371"/>
      <c r="K149" s="371"/>
      <c r="L149" s="371"/>
      <c r="N149">
        <f>SUM(P49:P66)</f>
        <v>251</v>
      </c>
      <c r="P149" s="371"/>
      <c r="Q149" s="371">
        <v>4</v>
      </c>
      <c r="R149">
        <f>N149/Q149</f>
        <v>62.75</v>
      </c>
      <c r="S149">
        <v>4</v>
      </c>
      <c r="V149" s="3">
        <f t="shared" si="70"/>
        <v>15.6875</v>
      </c>
      <c r="X149" s="134">
        <v>3</v>
      </c>
      <c r="Y149" s="134">
        <f t="shared" si="71"/>
        <v>5.229166666666667</v>
      </c>
    </row>
    <row r="150" spans="5:62" x14ac:dyDescent="0.25">
      <c r="I150" t="s">
        <v>479</v>
      </c>
      <c r="J150" s="371"/>
      <c r="K150" s="371"/>
      <c r="L150" s="371"/>
      <c r="N150">
        <f>SUM(P67:P78)</f>
        <v>379</v>
      </c>
      <c r="P150" s="371"/>
      <c r="Q150" s="371">
        <v>4</v>
      </c>
      <c r="R150">
        <f>N150/Q150</f>
        <v>94.75</v>
      </c>
      <c r="S150">
        <v>4</v>
      </c>
      <c r="V150" s="3">
        <f>R150/S150</f>
        <v>23.6875</v>
      </c>
      <c r="X150" s="134">
        <v>3</v>
      </c>
      <c r="Y150" s="134">
        <f>V150/X150</f>
        <v>7.895833333333333</v>
      </c>
    </row>
    <row r="151" spans="5:62" x14ac:dyDescent="0.25">
      <c r="J151" s="371"/>
      <c r="K151" s="371"/>
      <c r="L151" s="371"/>
      <c r="P151" s="371"/>
    </row>
    <row r="152" spans="5:62" x14ac:dyDescent="0.25">
      <c r="I152" s="391" t="s">
        <v>481</v>
      </c>
      <c r="J152" s="392"/>
      <c r="K152" s="392"/>
      <c r="L152" s="392"/>
      <c r="M152" s="392"/>
      <c r="N152" s="392"/>
      <c r="O152" s="392"/>
      <c r="P152" s="392"/>
      <c r="Q152" s="392"/>
      <c r="R152" s="392"/>
      <c r="S152" s="393"/>
    </row>
    <row r="153" spans="5:62" x14ac:dyDescent="0.25">
      <c r="I153" s="184" t="s">
        <v>368</v>
      </c>
      <c r="J153" s="369"/>
      <c r="K153" s="369"/>
      <c r="L153" s="369"/>
      <c r="M153" s="382">
        <v>2</v>
      </c>
      <c r="N153" s="382"/>
      <c r="O153" s="382"/>
      <c r="P153" s="369">
        <f>M153</f>
        <v>2</v>
      </c>
      <c r="Q153" s="369"/>
      <c r="R153" s="369">
        <f>P153</f>
        <v>2</v>
      </c>
      <c r="S153" s="236"/>
    </row>
    <row r="154" spans="5:62" x14ac:dyDescent="0.25">
      <c r="I154" s="187" t="s">
        <v>369</v>
      </c>
      <c r="J154" s="370"/>
      <c r="K154" s="370"/>
      <c r="L154" s="370"/>
      <c r="M154" s="383">
        <f>M138</f>
        <v>758</v>
      </c>
      <c r="N154" s="383"/>
      <c r="O154" s="383"/>
      <c r="P154" s="370">
        <f>M154</f>
        <v>758</v>
      </c>
      <c r="Q154" s="370"/>
      <c r="R154" s="370">
        <f>P154</f>
        <v>758</v>
      </c>
      <c r="S154" s="124"/>
    </row>
    <row r="155" spans="5:62" x14ac:dyDescent="0.25">
      <c r="I155" s="187" t="s">
        <v>370</v>
      </c>
      <c r="J155" s="370"/>
      <c r="K155" s="370"/>
      <c r="L155" s="370"/>
      <c r="M155" s="378">
        <f>M154/M153</f>
        <v>379</v>
      </c>
      <c r="N155" s="378"/>
      <c r="O155" s="378"/>
      <c r="P155" s="368">
        <f>P154/P153</f>
        <v>379</v>
      </c>
      <c r="Q155" s="370"/>
      <c r="R155" s="368">
        <f>R154/R153</f>
        <v>379</v>
      </c>
      <c r="S155" s="124"/>
    </row>
    <row r="156" spans="5:62" x14ac:dyDescent="0.25">
      <c r="I156" s="187" t="s">
        <v>371</v>
      </c>
      <c r="J156" s="370"/>
      <c r="K156" s="370"/>
      <c r="L156" s="370"/>
      <c r="M156" s="378">
        <f>M155/9</f>
        <v>42.111111111111114</v>
      </c>
      <c r="N156" s="378"/>
      <c r="O156" s="378"/>
      <c r="P156" s="368">
        <f>P155/9</f>
        <v>42.111111111111114</v>
      </c>
      <c r="Q156" s="370"/>
      <c r="R156" s="368">
        <f>R155/9</f>
        <v>42.111111111111114</v>
      </c>
      <c r="S156" s="124"/>
    </row>
    <row r="157" spans="5:62" x14ac:dyDescent="0.25">
      <c r="I157" s="187" t="s">
        <v>372</v>
      </c>
      <c r="J157" s="370"/>
      <c r="K157" s="370"/>
      <c r="L157" s="370"/>
      <c r="M157" s="378">
        <f>M156/4</f>
        <v>10.527777777777779</v>
      </c>
      <c r="N157" s="378"/>
      <c r="O157" s="378"/>
      <c r="P157" s="368">
        <f>P156/4</f>
        <v>10.527777777777779</v>
      </c>
      <c r="Q157" s="370"/>
      <c r="R157" s="368">
        <f>R156/4</f>
        <v>10.527777777777779</v>
      </c>
      <c r="S157" s="124"/>
    </row>
    <row r="158" spans="5:62" x14ac:dyDescent="0.25">
      <c r="I158" s="187" t="s">
        <v>373</v>
      </c>
      <c r="J158" s="370"/>
      <c r="K158" s="370"/>
      <c r="L158" s="370"/>
      <c r="M158" s="378">
        <f>M157/3</f>
        <v>3.5092592592592595</v>
      </c>
      <c r="N158" s="378"/>
      <c r="O158" s="378"/>
      <c r="P158" s="368">
        <f>P157/3</f>
        <v>3.5092592592592595</v>
      </c>
      <c r="Q158" s="370"/>
      <c r="R158" s="368">
        <f>R157/3</f>
        <v>3.5092592592592595</v>
      </c>
      <c r="S158" s="124"/>
    </row>
    <row r="159" spans="5:62" x14ac:dyDescent="0.25">
      <c r="I159" s="188"/>
      <c r="J159" s="209"/>
      <c r="K159" s="209"/>
      <c r="L159" s="209"/>
      <c r="M159" s="113"/>
      <c r="N159" s="113"/>
      <c r="O159" s="113"/>
      <c r="P159" s="209"/>
      <c r="Q159" s="209"/>
      <c r="R159" s="113"/>
      <c r="S159" s="235"/>
    </row>
  </sheetData>
  <mergeCells count="35">
    <mergeCell ref="M158:O158"/>
    <mergeCell ref="I152:S152"/>
    <mergeCell ref="M153:O153"/>
    <mergeCell ref="M154:O154"/>
    <mergeCell ref="M155:O155"/>
    <mergeCell ref="M156:O156"/>
    <mergeCell ref="M157:O157"/>
    <mergeCell ref="Y146:Z146"/>
    <mergeCell ref="Y145:Z145"/>
    <mergeCell ref="AC2:AF3"/>
    <mergeCell ref="I86:S86"/>
    <mergeCell ref="X46:Y46"/>
    <mergeCell ref="X3:Y3"/>
    <mergeCell ref="X30:Y30"/>
    <mergeCell ref="I29:J29"/>
    <mergeCell ref="X87:Y87"/>
    <mergeCell ref="R3:S3"/>
    <mergeCell ref="R46:S46"/>
    <mergeCell ref="R87:S87"/>
    <mergeCell ref="R30:S30"/>
    <mergeCell ref="M142:O142"/>
    <mergeCell ref="M137:O137"/>
    <mergeCell ref="M138:O138"/>
    <mergeCell ref="M139:O139"/>
    <mergeCell ref="M140:O140"/>
    <mergeCell ref="M141:O141"/>
    <mergeCell ref="M110:O110"/>
    <mergeCell ref="O3:Q3"/>
    <mergeCell ref="O30:Q30"/>
    <mergeCell ref="O46:Q46"/>
    <mergeCell ref="M105:O105"/>
    <mergeCell ref="M106:O106"/>
    <mergeCell ref="M107:O107"/>
    <mergeCell ref="M108:O108"/>
    <mergeCell ref="M109:O10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100"/>
  <sheetViews>
    <sheetView showGridLines="0" zoomScale="95" zoomScaleNormal="95" workbookViewId="0">
      <selection activeCell="X34" sqref="X34"/>
    </sheetView>
  </sheetViews>
  <sheetFormatPr baseColWidth="10" defaultRowHeight="15" x14ac:dyDescent="0.25"/>
  <cols>
    <col min="1" max="1" width="2" customWidth="1"/>
    <col min="2" max="2" width="37.85546875" bestFit="1" customWidth="1"/>
    <col min="3" max="3" width="6.5703125" style="160" bestFit="1" customWidth="1"/>
    <col min="4" max="5" width="6.28515625" customWidth="1"/>
    <col min="6" max="6" width="5.7109375" style="160" customWidth="1"/>
    <col min="7" max="7" width="5" style="160" bestFit="1" customWidth="1"/>
    <col min="8" max="8" width="6.140625" bestFit="1" customWidth="1"/>
    <col min="9" max="9" width="5.85546875" bestFit="1" customWidth="1"/>
    <col min="10" max="11" width="4.42578125" style="134" customWidth="1"/>
    <col min="12" max="12" width="2.7109375" style="134" customWidth="1"/>
    <col min="13" max="13" width="36.85546875" style="134" customWidth="1"/>
    <col min="14" max="15" width="4.42578125" style="134" customWidth="1"/>
    <col min="16" max="16" width="6" style="134" bestFit="1" customWidth="1"/>
    <col min="17" max="19" width="4.42578125" style="134" customWidth="1"/>
    <col min="20" max="20" width="5.140625" bestFit="1" customWidth="1"/>
    <col min="21" max="21" width="6.42578125" customWidth="1"/>
    <col min="22" max="22" width="7.140625" bestFit="1" customWidth="1"/>
    <col min="23" max="23" width="2.7109375" customWidth="1"/>
    <col min="24" max="24" width="29.42578125" customWidth="1"/>
    <col min="25" max="41" width="7.140625" customWidth="1"/>
    <col min="42" max="42" width="6" customWidth="1"/>
    <col min="43" max="43" width="17.7109375" bestFit="1" customWidth="1"/>
    <col min="44" max="44" width="10.85546875" bestFit="1" customWidth="1"/>
    <col min="45" max="45" width="2.85546875" bestFit="1" customWidth="1"/>
    <col min="46" max="46" width="3" bestFit="1" customWidth="1"/>
    <col min="47" max="47" width="1.85546875" bestFit="1" customWidth="1"/>
    <col min="48" max="48" width="3" bestFit="1" customWidth="1"/>
    <col min="53" max="53" width="4.5703125" bestFit="1" customWidth="1"/>
    <col min="54" max="54" width="6" bestFit="1" customWidth="1"/>
    <col min="55" max="55" width="2.5703125" bestFit="1" customWidth="1"/>
    <col min="56" max="56" width="2.85546875" bestFit="1" customWidth="1"/>
    <col min="57" max="57" width="7.140625" bestFit="1" customWidth="1"/>
    <col min="58" max="58" width="7.140625" customWidth="1"/>
  </cols>
  <sheetData>
    <row r="2" spans="2:41" ht="15" customHeight="1" x14ac:dyDescent="0.25">
      <c r="B2" s="35" t="str">
        <f>'nb formule'!I3</f>
        <v>Méthodes et formules démontrées</v>
      </c>
      <c r="C2" s="163"/>
      <c r="D2" s="71"/>
      <c r="E2" s="71"/>
      <c r="F2" s="71"/>
      <c r="G2" s="71"/>
      <c r="H2" s="381" t="s">
        <v>87</v>
      </c>
      <c r="I2" s="379"/>
      <c r="J2" s="394" t="s">
        <v>291</v>
      </c>
      <c r="K2" s="395"/>
      <c r="L2" s="147"/>
      <c r="M2" s="35" t="str">
        <f>B2</f>
        <v>Méthodes et formules démontrées</v>
      </c>
      <c r="N2" s="163"/>
      <c r="O2" s="71"/>
      <c r="P2" s="71"/>
      <c r="Q2" s="71">
        <v>15</v>
      </c>
      <c r="R2" s="71"/>
      <c r="S2" s="381" t="s">
        <v>87</v>
      </c>
      <c r="T2" s="379"/>
      <c r="U2" s="394" t="s">
        <v>291</v>
      </c>
      <c r="V2" s="395"/>
      <c r="W2" s="72"/>
      <c r="X2" s="161" t="str">
        <f>B2</f>
        <v>Méthodes et formules démontrées</v>
      </c>
      <c r="Y2" s="162"/>
      <c r="Z2" s="71"/>
      <c r="AA2" s="71"/>
      <c r="AB2" s="71"/>
      <c r="AC2" s="71"/>
      <c r="AD2" s="381" t="s">
        <v>87</v>
      </c>
      <c r="AE2" s="379"/>
      <c r="AF2" s="394" t="s">
        <v>291</v>
      </c>
      <c r="AG2" s="395"/>
      <c r="AH2" s="72"/>
      <c r="AI2" s="72"/>
      <c r="AJ2" s="72"/>
      <c r="AK2" s="72"/>
      <c r="AL2" s="72"/>
      <c r="AM2" s="72"/>
      <c r="AN2" s="72"/>
      <c r="AO2" s="72"/>
    </row>
    <row r="3" spans="2:41" ht="15" customHeight="1" x14ac:dyDescent="0.25">
      <c r="B3" s="25"/>
      <c r="C3" s="26"/>
      <c r="D3" s="26" t="s">
        <v>98</v>
      </c>
      <c r="E3" s="26" t="s">
        <v>17</v>
      </c>
      <c r="F3" s="27"/>
      <c r="G3" s="27" t="s">
        <v>97</v>
      </c>
      <c r="H3" s="153" t="s">
        <v>27</v>
      </c>
      <c r="I3" s="154" t="s">
        <v>104</v>
      </c>
      <c r="J3" s="155" t="s">
        <v>295</v>
      </c>
      <c r="K3" s="155" t="s">
        <v>296</v>
      </c>
      <c r="L3" s="147"/>
      <c r="M3" s="25" t="s">
        <v>3</v>
      </c>
      <c r="N3" s="26" t="s">
        <v>148</v>
      </c>
      <c r="O3" s="26" t="s">
        <v>98</v>
      </c>
      <c r="P3" s="26" t="s">
        <v>17</v>
      </c>
      <c r="Q3" s="27"/>
      <c r="R3" s="27" t="s">
        <v>97</v>
      </c>
      <c r="S3" s="153" t="s">
        <v>27</v>
      </c>
      <c r="T3" s="154" t="s">
        <v>104</v>
      </c>
      <c r="U3" s="155" t="s">
        <v>295</v>
      </c>
      <c r="V3" s="155" t="s">
        <v>296</v>
      </c>
      <c r="W3" s="72"/>
      <c r="X3" s="28" t="s">
        <v>7</v>
      </c>
      <c r="Y3" s="26"/>
      <c r="Z3" s="26" t="s">
        <v>98</v>
      </c>
      <c r="AA3" s="26" t="s">
        <v>17</v>
      </c>
      <c r="AB3" s="27"/>
      <c r="AC3" s="27" t="s">
        <v>97</v>
      </c>
      <c r="AD3" s="153" t="s">
        <v>27</v>
      </c>
      <c r="AE3" s="154" t="s">
        <v>104</v>
      </c>
      <c r="AF3" s="155" t="s">
        <v>295</v>
      </c>
      <c r="AG3" s="155" t="s">
        <v>296</v>
      </c>
      <c r="AH3" s="72"/>
      <c r="AI3" s="72"/>
      <c r="AJ3" s="72"/>
      <c r="AK3" s="72"/>
      <c r="AL3" s="72"/>
      <c r="AM3" s="72"/>
      <c r="AN3" s="72"/>
      <c r="AO3" s="72"/>
    </row>
    <row r="4" spans="2:41" ht="27" customHeight="1" x14ac:dyDescent="0.25">
      <c r="B4" s="73" t="e">
        <f>'nb formule'!#REF!</f>
        <v>#REF!</v>
      </c>
      <c r="C4" s="74" t="e">
        <f>'nb formule'!#REF!</f>
        <v>#REF!</v>
      </c>
      <c r="D4" s="74"/>
      <c r="E4" s="73"/>
      <c r="F4" s="73" t="e">
        <f>'nb formule'!#REF!</f>
        <v>#REF!</v>
      </c>
      <c r="G4" s="73"/>
      <c r="H4" s="73"/>
      <c r="I4" s="75"/>
      <c r="J4" s="140"/>
      <c r="K4" s="140"/>
      <c r="L4" s="147"/>
      <c r="M4" s="85" t="str">
        <f>'nb formule'!I48</f>
        <v>Formule générale des développements</v>
      </c>
      <c r="N4" s="86" t="str">
        <f>'nb formule'!J48</f>
        <v>x</v>
      </c>
      <c r="O4" s="68" t="str">
        <f>IF('nb formule'!L48=0,"",'nb formule'!L48=0)</f>
        <v/>
      </c>
      <c r="P4" s="68" t="str">
        <f>IF('nb formule'!O48=0,"",'nb formule'!O48)</f>
        <v/>
      </c>
      <c r="Q4" s="73" t="str">
        <f>IF('nb formule'!P48=0,"",'nb formule'!P48)</f>
        <v/>
      </c>
      <c r="R4" s="73">
        <f>'nb formule'!Q48</f>
        <v>0</v>
      </c>
      <c r="S4" s="73">
        <f>'nb formule'!R48</f>
        <v>5</v>
      </c>
      <c r="T4" s="77">
        <f>'nb formule'!S48</f>
        <v>0</v>
      </c>
      <c r="U4" s="142">
        <f>'nb formule'!X48</f>
        <v>0</v>
      </c>
      <c r="V4" s="142">
        <f>'nb formule'!Y48</f>
        <v>0</v>
      </c>
      <c r="W4" s="72"/>
      <c r="X4" s="76" t="str">
        <f>'nb formule'!I32</f>
        <v>Géométrie triangulaire</v>
      </c>
      <c r="Y4" s="86" t="str">
        <f>'nb formule'!J32</f>
        <v>x</v>
      </c>
      <c r="Z4" s="73" t="str">
        <f>IF('nb formule'!L32=0,"",'nb formule'!L32)</f>
        <v/>
      </c>
      <c r="AA4" s="73" t="str">
        <f>IF('nb formule'!O32=0,"",'nb formule'!O32)</f>
        <v/>
      </c>
      <c r="AB4" s="73">
        <f>IF('nb formule'!P32=0,"",'nb formule'!P32)</f>
        <v>4</v>
      </c>
      <c r="AC4" s="73">
        <f>'nb formule'!Q32</f>
        <v>0</v>
      </c>
      <c r="AD4" s="73">
        <f>'nb formule'!R32</f>
        <v>33</v>
      </c>
      <c r="AE4" s="77">
        <f>'nb formule'!S32</f>
        <v>0.12121212121212122</v>
      </c>
      <c r="AF4" s="142">
        <f>'nb formule'!X32</f>
        <v>0</v>
      </c>
      <c r="AG4" s="142">
        <f>'nb formule'!Y32</f>
        <v>0</v>
      </c>
      <c r="AH4" s="72"/>
      <c r="AI4" s="72"/>
      <c r="AJ4" s="72"/>
      <c r="AK4" s="72"/>
      <c r="AL4" s="72"/>
      <c r="AM4" s="72"/>
      <c r="AN4" s="72"/>
      <c r="AO4" s="72"/>
    </row>
    <row r="5" spans="2:41" ht="15" customHeight="1" x14ac:dyDescent="0.25">
      <c r="B5" s="76" t="str">
        <f>'nb formule'!I5</f>
        <v>Calculs arithmético-algébrique</v>
      </c>
      <c r="C5" s="74">
        <f>'nb formule'!J5</f>
        <v>1</v>
      </c>
      <c r="D5" s="74"/>
      <c r="E5" s="73">
        <f>'nb formule'!O5</f>
        <v>8</v>
      </c>
      <c r="F5" s="73">
        <f>'nb formule'!P5</f>
        <v>34</v>
      </c>
      <c r="G5" s="73"/>
      <c r="H5" s="73">
        <f>'nb formule'!R5</f>
        <v>8</v>
      </c>
      <c r="I5" s="77">
        <f>'nb formule'!S5</f>
        <v>4.25</v>
      </c>
      <c r="J5" s="142"/>
      <c r="K5" s="142"/>
      <c r="L5" s="144"/>
      <c r="M5" s="85" t="str">
        <f>'nb formule'!I49</f>
        <v>Limites : ( limite ,n ième  )</v>
      </c>
      <c r="N5" s="86" t="str">
        <f>'nb formule'!J49</f>
        <v>x</v>
      </c>
      <c r="O5" s="68" t="str">
        <f>IF('nb formule'!L49=0,"",'nb formule'!L49=0)</f>
        <v/>
      </c>
      <c r="P5" s="68">
        <f>IF('nb formule'!O49=0,"",'nb formule'!O49)</f>
        <v>7</v>
      </c>
      <c r="Q5" s="73">
        <f>IF('nb formule'!P49=0,"",'nb formule'!P49)</f>
        <v>45</v>
      </c>
      <c r="R5" s="73">
        <f>'nb formule'!Q49</f>
        <v>0</v>
      </c>
      <c r="S5" s="73">
        <f>'nb formule'!R49</f>
        <v>15</v>
      </c>
      <c r="T5" s="77">
        <f>'nb formule'!S49</f>
        <v>3</v>
      </c>
      <c r="U5" s="142">
        <f>'nb formule'!X49</f>
        <v>0</v>
      </c>
      <c r="V5" s="142">
        <f>'nb formule'!Y49</f>
        <v>8</v>
      </c>
      <c r="W5" s="72"/>
      <c r="X5" s="76" t="str">
        <f>'nb formule'!I33</f>
        <v>Géométrie polygonales</v>
      </c>
      <c r="Y5" s="86">
        <f>'nb formule'!J33</f>
        <v>1</v>
      </c>
      <c r="Z5" s="73" t="str">
        <f>IF('nb formule'!L33=0,"",'nb formule'!L33)</f>
        <v/>
      </c>
      <c r="AA5" s="73" t="str">
        <f>IF('nb formule'!O33=0,"",'nb formule'!O33)</f>
        <v/>
      </c>
      <c r="AB5" s="73">
        <f>IF('nb formule'!P33=0,"",'nb formule'!P33)</f>
        <v>7</v>
      </c>
      <c r="AC5" s="73">
        <f>'nb formule'!Q33</f>
        <v>0</v>
      </c>
      <c r="AD5" s="73">
        <f>'nb formule'!R33</f>
        <v>7</v>
      </c>
      <c r="AE5" s="77">
        <f>'nb formule'!S33</f>
        <v>1</v>
      </c>
      <c r="AF5" s="142">
        <f>'nb formule'!X33</f>
        <v>0</v>
      </c>
      <c r="AG5" s="142">
        <f>'nb formule'!Y33</f>
        <v>0</v>
      </c>
      <c r="AH5" s="72"/>
      <c r="AI5" s="72"/>
      <c r="AJ5" s="72"/>
      <c r="AK5" s="72"/>
      <c r="AL5" s="72"/>
      <c r="AM5" s="72"/>
      <c r="AN5" s="72"/>
      <c r="AO5" s="72"/>
    </row>
    <row r="6" spans="2:41" ht="15" customHeight="1" x14ac:dyDescent="0.25">
      <c r="B6" s="76" t="str">
        <f>'nb formule'!I6</f>
        <v>Identités remarquables</v>
      </c>
      <c r="C6" s="74">
        <f>'nb formule'!J6</f>
        <v>1</v>
      </c>
      <c r="D6" s="74"/>
      <c r="E6" s="73"/>
      <c r="F6" s="73">
        <f>'nb formule'!P6</f>
        <v>7</v>
      </c>
      <c r="G6" s="73"/>
      <c r="H6" s="73">
        <f>'nb formule'!R6</f>
        <v>11</v>
      </c>
      <c r="I6" s="77">
        <f>'nb formule'!S6</f>
        <v>0.63636363636363635</v>
      </c>
      <c r="J6" s="142"/>
      <c r="K6" s="142"/>
      <c r="L6" s="144"/>
      <c r="M6" s="85" t="str">
        <f>'nb formule'!I50</f>
        <v>Dérivée : formule générale</v>
      </c>
      <c r="N6" s="86">
        <f>'nb formule'!J50</f>
        <v>0</v>
      </c>
      <c r="O6" s="68" t="str">
        <f>IF('nb formule'!L50=0,"",'nb formule'!L50=0)</f>
        <v/>
      </c>
      <c r="P6" s="68" t="str">
        <f>IF('nb formule'!O50=0,"",'nb formule'!O50)</f>
        <v/>
      </c>
      <c r="Q6" s="73" t="str">
        <f>IF('nb formule'!P50=0,"",'nb formule'!P50)</f>
        <v/>
      </c>
      <c r="R6" s="73">
        <f>'nb formule'!Q50</f>
        <v>0</v>
      </c>
      <c r="S6" s="73">
        <f>'nb formule'!R50</f>
        <v>12</v>
      </c>
      <c r="T6" s="77">
        <f>'nb formule'!S50</f>
        <v>0</v>
      </c>
      <c r="U6" s="142">
        <f>'nb formule'!X50</f>
        <v>0</v>
      </c>
      <c r="V6" s="142">
        <f>'nb formule'!Y50</f>
        <v>0</v>
      </c>
      <c r="W6" s="72"/>
      <c r="X6" s="76" t="str">
        <f>'nb formule'!I34</f>
        <v>Géométrie plane</v>
      </c>
      <c r="Y6" s="86">
        <f>'nb formule'!J34</f>
        <v>0</v>
      </c>
      <c r="Z6" s="73" t="str">
        <f>IF('nb formule'!L34=0,"",'nb formule'!L34)</f>
        <v/>
      </c>
      <c r="AA6" s="73" t="str">
        <f>IF('nb formule'!O34=0,"",'nb formule'!O34)</f>
        <v/>
      </c>
      <c r="AB6" s="73">
        <f>IF('nb formule'!P34=0,"",'nb formule'!P34)</f>
        <v>28</v>
      </c>
      <c r="AC6" s="73">
        <f>'nb formule'!Q34</f>
        <v>0</v>
      </c>
      <c r="AD6" s="73">
        <f>'nb formule'!R34</f>
        <v>0</v>
      </c>
      <c r="AE6" s="77" t="str">
        <f>'nb formule'!S34</f>
        <v/>
      </c>
      <c r="AF6" s="142">
        <f>'nb formule'!X34</f>
        <v>0</v>
      </c>
      <c r="AG6" s="142">
        <f>'nb formule'!Y34</f>
        <v>0</v>
      </c>
      <c r="AH6" s="72"/>
      <c r="AI6" s="72"/>
      <c r="AJ6" s="72"/>
      <c r="AK6" s="72"/>
      <c r="AL6" s="72"/>
      <c r="AM6" s="72"/>
      <c r="AN6" s="72"/>
      <c r="AO6" s="72"/>
    </row>
    <row r="7" spans="2:41" ht="15" customHeight="1" x14ac:dyDescent="0.25">
      <c r="B7" s="76" t="str">
        <f>'nb formule'!I7</f>
        <v>Analyse combinatoire</v>
      </c>
      <c r="C7" s="74" t="str">
        <f>'nb formule'!J7</f>
        <v>x</v>
      </c>
      <c r="D7" s="74"/>
      <c r="E7" s="73">
        <f>'nb formule'!O7</f>
        <v>0.5</v>
      </c>
      <c r="F7" s="73">
        <f>'nb formule'!P7</f>
        <v>6</v>
      </c>
      <c r="G7" s="73"/>
      <c r="H7" s="73">
        <f>'nb formule'!R7</f>
        <v>11</v>
      </c>
      <c r="I7" s="77">
        <f>'nb formule'!S7</f>
        <v>0.54545454545454541</v>
      </c>
      <c r="J7" s="142"/>
      <c r="K7" s="142"/>
      <c r="L7" s="144"/>
      <c r="M7" s="85" t="str">
        <f>'nb formule'!I51</f>
        <v>Dérivées premières</v>
      </c>
      <c r="N7" s="86">
        <f>'nb formule'!J51</f>
        <v>1</v>
      </c>
      <c r="O7" s="68" t="str">
        <f>IF('nb formule'!L51=0,"",'nb formule'!L51=0)</f>
        <v/>
      </c>
      <c r="P7" s="68" t="str">
        <f>IF('nb formule'!O51=0,"",'nb formule'!O51)</f>
        <v/>
      </c>
      <c r="Q7" s="73">
        <f>IF('nb formule'!P51=0,"",'nb formule'!P51)</f>
        <v>21</v>
      </c>
      <c r="R7" s="73">
        <f>'nb formule'!Q51</f>
        <v>0</v>
      </c>
      <c r="S7" s="73">
        <f>'nb formule'!R51</f>
        <v>39</v>
      </c>
      <c r="T7" s="77">
        <f>'nb formule'!S51</f>
        <v>0.53846153846153844</v>
      </c>
      <c r="U7" s="142">
        <f>'nb formule'!X51</f>
        <v>0</v>
      </c>
      <c r="V7" s="142">
        <f>'nb formule'!Y51</f>
        <v>0</v>
      </c>
      <c r="W7" s="72"/>
      <c r="X7" s="76" t="str">
        <f>'nb formule'!I35</f>
        <v>Trigonométrie circulaire</v>
      </c>
      <c r="Y7" s="86">
        <f>'nb formule'!J35</f>
        <v>1</v>
      </c>
      <c r="Z7" s="73">
        <f>IF('nb formule'!L35=0,"",'nb formule'!L35)</f>
        <v>1</v>
      </c>
      <c r="AA7" s="73">
        <f>IF('nb formule'!O35=0,"",'nb formule'!O35)</f>
        <v>5</v>
      </c>
      <c r="AB7" s="73">
        <f>IF('nb formule'!P35=0,"",'nb formule'!P35)</f>
        <v>106</v>
      </c>
      <c r="AC7" s="73">
        <f>'nb formule'!Q35</f>
        <v>-1</v>
      </c>
      <c r="AD7" s="73">
        <f>'nb formule'!R35</f>
        <v>57</v>
      </c>
      <c r="AE7" s="77">
        <f>'nb formule'!S35</f>
        <v>1.8596491228070176</v>
      </c>
      <c r="AF7" s="142">
        <f>'nb formule'!X35</f>
        <v>0</v>
      </c>
      <c r="AG7" s="142">
        <f>'nb formule'!Y35</f>
        <v>2</v>
      </c>
      <c r="AH7" s="72"/>
      <c r="AI7" s="72"/>
      <c r="AJ7" s="72"/>
      <c r="AK7" s="72"/>
      <c r="AL7" s="72"/>
      <c r="AM7" s="72"/>
      <c r="AN7" s="72"/>
      <c r="AO7" s="72"/>
    </row>
    <row r="8" spans="2:41" ht="15" customHeight="1" x14ac:dyDescent="0.25">
      <c r="B8" s="76" t="str">
        <f>'nb formule'!I8</f>
        <v>Racine carrée, nième</v>
      </c>
      <c r="C8" s="74">
        <f>'nb formule'!J8</f>
        <v>1</v>
      </c>
      <c r="D8" s="74"/>
      <c r="E8" s="73"/>
      <c r="F8" s="73">
        <f>'nb formule'!P8</f>
        <v>2</v>
      </c>
      <c r="G8" s="73"/>
      <c r="H8" s="73">
        <f>'nb formule'!R8</f>
        <v>2</v>
      </c>
      <c r="I8" s="77">
        <f>'nb formule'!S8</f>
        <v>1</v>
      </c>
      <c r="J8" s="142"/>
      <c r="K8" s="142"/>
      <c r="L8" s="144"/>
      <c r="M8" s="85" t="str">
        <f>'nb formule'!I52</f>
        <v>dérivée successives</v>
      </c>
      <c r="N8" s="86" t="str">
        <f>'nb formule'!J52</f>
        <v>x</v>
      </c>
      <c r="O8" s="68" t="str">
        <f>IF('nb formule'!L52=0,"",'nb formule'!L52=0)</f>
        <v/>
      </c>
      <c r="P8" s="68">
        <f>IF('nb formule'!O52=0,"",'nb formule'!O52)</f>
        <v>3</v>
      </c>
      <c r="Q8" s="73">
        <f>IF('nb formule'!P52=0,"",'nb formule'!P52)</f>
        <v>7</v>
      </c>
      <c r="R8" s="73">
        <f>'nb formule'!Q52</f>
        <v>0</v>
      </c>
      <c r="S8" s="73">
        <f>'nb formule'!R52</f>
        <v>0</v>
      </c>
      <c r="T8" s="77" t="str">
        <f>'nb formule'!S52</f>
        <v/>
      </c>
      <c r="U8" s="142">
        <f>'nb formule'!X52</f>
        <v>4</v>
      </c>
      <c r="V8" s="142">
        <f>'nb formule'!Y52</f>
        <v>0</v>
      </c>
      <c r="W8" s="72"/>
      <c r="X8" s="76" t="str">
        <f>'nb formule'!I36</f>
        <v>Trigonométrie hyperbolique</v>
      </c>
      <c r="Y8" s="86">
        <f>'nb formule'!J36</f>
        <v>1</v>
      </c>
      <c r="Z8" s="73" t="str">
        <f>IF('nb formule'!L36=0,"",'nb formule'!L36)</f>
        <v/>
      </c>
      <c r="AA8" s="73">
        <f>IF('nb formule'!O36=0,"",'nb formule'!O36)</f>
        <v>1</v>
      </c>
      <c r="AB8" s="73">
        <f>IF('nb formule'!P36=0,"",'nb formule'!P36)</f>
        <v>34</v>
      </c>
      <c r="AC8" s="73">
        <f>'nb formule'!Q36</f>
        <v>0</v>
      </c>
      <c r="AD8" s="73">
        <f>'nb formule'!R36</f>
        <v>34</v>
      </c>
      <c r="AE8" s="77">
        <f>'nb formule'!S36</f>
        <v>1</v>
      </c>
      <c r="AF8" s="142">
        <f>'nb formule'!X36</f>
        <v>0</v>
      </c>
      <c r="AG8" s="142">
        <f>'nb formule'!Y36</f>
        <v>0</v>
      </c>
      <c r="AH8" s="72"/>
      <c r="AI8" s="72"/>
      <c r="AJ8" s="72"/>
      <c r="AK8" s="72"/>
      <c r="AL8" s="72"/>
      <c r="AM8" s="72"/>
      <c r="AN8" s="72"/>
      <c r="AO8" s="72"/>
    </row>
    <row r="9" spans="2:41" ht="23.25" customHeight="1" x14ac:dyDescent="0.25">
      <c r="B9" s="76" t="str">
        <f>'nb formule'!I9</f>
        <v>Sommations</v>
      </c>
      <c r="C9" s="74">
        <f>'nb formule'!J9</f>
        <v>1</v>
      </c>
      <c r="D9" s="74"/>
      <c r="E9" s="73"/>
      <c r="F9" s="73">
        <f>'nb formule'!P9</f>
        <v>10</v>
      </c>
      <c r="G9" s="73"/>
      <c r="H9" s="73"/>
      <c r="I9" s="77" t="str">
        <f>'nb formule'!S9</f>
        <v/>
      </c>
      <c r="J9" s="142"/>
      <c r="K9" s="142"/>
      <c r="L9" s="144"/>
      <c r="M9" s="85" t="str">
        <f>'nb formule'!I53</f>
        <v>différentielle nième (44) ; (Formul G &amp; listes)</v>
      </c>
      <c r="N9" s="86">
        <f>'nb formule'!J53</f>
        <v>1</v>
      </c>
      <c r="O9" s="68" t="b">
        <f>IF('nb formule'!L53=0,"",'nb formule'!L53=0)</f>
        <v>0</v>
      </c>
      <c r="P9" s="68">
        <f>IF('nb formule'!O53=0,"",'nb formule'!O53)</f>
        <v>9</v>
      </c>
      <c r="Q9" s="73">
        <f>IF('nb formule'!P53=0,"",'nb formule'!P53)</f>
        <v>29</v>
      </c>
      <c r="R9" s="73">
        <f>'nb formule'!Q53</f>
        <v>0</v>
      </c>
      <c r="S9" s="73">
        <f>'nb formule'!R53</f>
        <v>25</v>
      </c>
      <c r="T9" s="77">
        <f>'nb formule'!S53</f>
        <v>1.1599999999999999</v>
      </c>
      <c r="U9" s="142">
        <f>'nb formule'!X53</f>
        <v>0</v>
      </c>
      <c r="V9" s="142">
        <f>'nb formule'!Y53</f>
        <v>39</v>
      </c>
      <c r="W9" s="72"/>
      <c r="X9" s="76" t="str">
        <f>'nb formule'!I37</f>
        <v>Aire, surface</v>
      </c>
      <c r="Y9" s="86">
        <f>'nb formule'!J37</f>
        <v>0</v>
      </c>
      <c r="Z9" s="73" t="str">
        <f>IF('nb formule'!L37=0,"",'nb formule'!L37)</f>
        <v/>
      </c>
      <c r="AA9" s="73" t="str">
        <f>IF('nb formule'!O37=0,"",'nb formule'!O37)</f>
        <v/>
      </c>
      <c r="AB9" s="73">
        <f>IF('nb formule'!P37=0,"",'nb formule'!P37)</f>
        <v>12</v>
      </c>
      <c r="AC9" s="73">
        <f>'nb formule'!Q37</f>
        <v>0</v>
      </c>
      <c r="AD9" s="73">
        <f>'nb formule'!R37</f>
        <v>12</v>
      </c>
      <c r="AE9" s="77">
        <f>'nb formule'!S37</f>
        <v>1</v>
      </c>
      <c r="AF9" s="142">
        <f>'nb formule'!X37</f>
        <v>0</v>
      </c>
      <c r="AG9" s="142">
        <f>'nb formule'!Y37</f>
        <v>0</v>
      </c>
      <c r="AH9" s="72"/>
      <c r="AI9" s="72"/>
      <c r="AJ9" s="72"/>
      <c r="AK9" s="72"/>
      <c r="AL9" s="72"/>
      <c r="AM9" s="72"/>
      <c r="AN9" s="72"/>
      <c r="AO9" s="72"/>
    </row>
    <row r="10" spans="2:41" ht="21" customHeight="1" x14ac:dyDescent="0.25">
      <c r="B10" s="76" t="str">
        <f>'nb formule'!I10</f>
        <v>Polynôme rationnelle</v>
      </c>
      <c r="C10" s="78" t="str">
        <f>'nb formule'!J10</f>
        <v>x</v>
      </c>
      <c r="D10" s="74"/>
      <c r="E10" s="73"/>
      <c r="F10" s="73">
        <f>'nb formule'!P10</f>
        <v>0</v>
      </c>
      <c r="G10" s="73"/>
      <c r="H10" s="73"/>
      <c r="I10" s="77" t="str">
        <f>'nb formule'!S10</f>
        <v/>
      </c>
      <c r="J10" s="142"/>
      <c r="K10" s="142"/>
      <c r="L10" s="144"/>
      <c r="M10" s="85" t="str">
        <f>'nb formule'!I54</f>
        <v>Différentielle partielles (6 form &amp; 2 formul)</v>
      </c>
      <c r="N10" s="86" t="str">
        <f>'nb formule'!J54</f>
        <v>x</v>
      </c>
      <c r="O10" s="68" t="str">
        <f>IF('nb formule'!L54=0,"",'nb formule'!L54=0)</f>
        <v/>
      </c>
      <c r="P10" s="68">
        <f>IF('nb formule'!O54=0,"",'nb formule'!O54)</f>
        <v>3</v>
      </c>
      <c r="Q10" s="73">
        <f>IF('nb formule'!P54=0,"",'nb formule'!P54)</f>
        <v>3</v>
      </c>
      <c r="R10" s="73">
        <f>'nb formule'!Q54</f>
        <v>0</v>
      </c>
      <c r="S10" s="73">
        <f>'nb formule'!R54</f>
        <v>9</v>
      </c>
      <c r="T10" s="77">
        <f>'nb formule'!S54</f>
        <v>0.33333333333333331</v>
      </c>
      <c r="U10" s="142">
        <f>'nb formule'!X54</f>
        <v>0</v>
      </c>
      <c r="V10" s="142">
        <f>'nb formule'!Y54</f>
        <v>0</v>
      </c>
      <c r="W10" s="72"/>
      <c r="X10" s="76" t="str">
        <f>'nb formule'!I38</f>
        <v>Volume</v>
      </c>
      <c r="Y10" s="86">
        <f>'nb formule'!J38</f>
        <v>0</v>
      </c>
      <c r="Z10" s="73" t="str">
        <f>IF('nb formule'!L38=0,"",'nb formule'!L38)</f>
        <v/>
      </c>
      <c r="AA10" s="73" t="str">
        <f>IF('nb formule'!O38=0,"",'nb formule'!O38)</f>
        <v/>
      </c>
      <c r="AB10" s="73">
        <f>IF('nb formule'!P38=0,"",'nb formule'!P38)</f>
        <v>1</v>
      </c>
      <c r="AC10" s="73">
        <f>'nb formule'!Q38</f>
        <v>0</v>
      </c>
      <c r="AD10" s="73">
        <f>'nb formule'!R38</f>
        <v>14</v>
      </c>
      <c r="AE10" s="77">
        <f>'nb formule'!S38</f>
        <v>7.1428571428571425E-2</v>
      </c>
      <c r="AF10" s="142">
        <f>'nb formule'!X38</f>
        <v>0</v>
      </c>
      <c r="AG10" s="142">
        <f>'nb formule'!Y38</f>
        <v>0</v>
      </c>
      <c r="AH10" s="72"/>
      <c r="AI10" s="72"/>
      <c r="AJ10" s="72"/>
      <c r="AK10" s="72"/>
      <c r="AL10" s="72"/>
      <c r="AM10" s="72"/>
      <c r="AN10" s="72"/>
      <c r="AO10" s="72"/>
    </row>
    <row r="11" spans="2:41" ht="15" customHeight="1" x14ac:dyDescent="0.25">
      <c r="B11" s="79" t="str">
        <f>'nb formule'!I11</f>
        <v>Equation du premier degré</v>
      </c>
      <c r="C11" s="74">
        <f>'nb formule'!J11</f>
        <v>1</v>
      </c>
      <c r="D11" s="74">
        <f>'nb formule'!L11</f>
        <v>0</v>
      </c>
      <c r="E11" s="73">
        <f>'nb formule'!O11</f>
        <v>7</v>
      </c>
      <c r="F11" s="73">
        <f>'nb formule'!P11</f>
        <v>44</v>
      </c>
      <c r="G11" s="73"/>
      <c r="H11" s="73">
        <f>'nb formule'!R11</f>
        <v>14</v>
      </c>
      <c r="I11" s="77">
        <f>'nb formule'!S11</f>
        <v>3.1428571428571428</v>
      </c>
      <c r="J11" s="142"/>
      <c r="K11" s="142"/>
      <c r="L11" s="144"/>
      <c r="M11" s="85" t="str">
        <f>'nb formule'!I56</f>
        <v>Formule générale des séries</v>
      </c>
      <c r="N11" s="86">
        <f>'nb formule'!J56</f>
        <v>1</v>
      </c>
      <c r="O11" s="68" t="str">
        <f>IF('nb formule'!L56=0,"",'nb formule'!L56=0)</f>
        <v/>
      </c>
      <c r="P11" s="68">
        <f>IF('nb formule'!O56=0,"",'nb formule'!O56)</f>
        <v>3</v>
      </c>
      <c r="Q11" s="73">
        <f>IF('nb formule'!P56=0,"",'nb formule'!P56)</f>
        <v>12</v>
      </c>
      <c r="R11" s="73">
        <f>'nb formule'!Q56</f>
        <v>0</v>
      </c>
      <c r="S11" s="73">
        <f>'nb formule'!R56</f>
        <v>19</v>
      </c>
      <c r="T11" s="77">
        <f>'nb formule'!S56</f>
        <v>0.63157894736842102</v>
      </c>
      <c r="U11" s="142">
        <f>'nb formule'!X56</f>
        <v>0</v>
      </c>
      <c r="V11" s="142">
        <f>'nb formule'!Y56</f>
        <v>19</v>
      </c>
      <c r="W11" s="72"/>
      <c r="X11" s="76" t="str">
        <f>'nb formule'!I39</f>
        <v>Géométrie Vectorielle</v>
      </c>
      <c r="Y11" s="86" t="str">
        <f>'nb formule'!J39</f>
        <v>x</v>
      </c>
      <c r="Z11" s="73" t="str">
        <f>IF('nb formule'!L39=0,"",'nb formule'!L39)</f>
        <v/>
      </c>
      <c r="AA11" s="73" t="str">
        <f>IF('nb formule'!O39=0,"",'nb formule'!O39)</f>
        <v/>
      </c>
      <c r="AB11" s="73">
        <f>IF('nb formule'!P39=0,"",'nb formule'!P39)</f>
        <v>23</v>
      </c>
      <c r="AC11" s="73">
        <f>'nb formule'!Q39</f>
        <v>12</v>
      </c>
      <c r="AD11" s="73">
        <f>'nb formule'!R39</f>
        <v>27</v>
      </c>
      <c r="AE11" s="77">
        <f>'nb formule'!S39</f>
        <v>0.85185185185185186</v>
      </c>
      <c r="AF11" s="142">
        <f>'nb formule'!X39</f>
        <v>0</v>
      </c>
      <c r="AG11" s="142">
        <f>'nb formule'!Y39</f>
        <v>0</v>
      </c>
      <c r="AH11" s="72"/>
      <c r="AI11" s="72"/>
      <c r="AJ11" s="72"/>
      <c r="AK11" s="72"/>
      <c r="AL11" s="72"/>
      <c r="AM11" s="72"/>
      <c r="AN11" s="72"/>
      <c r="AO11" s="72"/>
    </row>
    <row r="12" spans="2:41" ht="15" customHeight="1" x14ac:dyDescent="0.25">
      <c r="B12" s="79" t="str">
        <f>'nb formule'!I12</f>
        <v>Equation polygonales (Ɣ//, Ɣ ^ ; Ɣ cord,)</v>
      </c>
      <c r="C12" s="74">
        <f>'nb formule'!J12</f>
        <v>1</v>
      </c>
      <c r="D12" s="74"/>
      <c r="E12" s="73">
        <f>'nb formule'!O12</f>
        <v>3</v>
      </c>
      <c r="F12" s="73">
        <f>'nb formule'!P12</f>
        <v>18</v>
      </c>
      <c r="G12" s="73"/>
      <c r="H12" s="73">
        <f>'nb formule'!R12</f>
        <v>15</v>
      </c>
      <c r="I12" s="77">
        <f>'nb formule'!S12</f>
        <v>1.2</v>
      </c>
      <c r="J12" s="142">
        <f>'nb formule'!X12</f>
        <v>3</v>
      </c>
      <c r="K12" s="142">
        <f>'nb formule'!Y12</f>
        <v>0</v>
      </c>
      <c r="L12" s="144"/>
      <c r="M12" s="85" t="str">
        <f>'nb formule'!I57</f>
        <v>Séries limitées :</v>
      </c>
      <c r="N12" s="86" t="str">
        <f>'nb formule'!J57</f>
        <v>x</v>
      </c>
      <c r="O12" s="68" t="str">
        <f>IF('nb formule'!L57=0,"",'nb formule'!L57=0)</f>
        <v/>
      </c>
      <c r="P12" s="68" t="str">
        <f>IF('nb formule'!O57=0,"",'nb formule'!O57)</f>
        <v/>
      </c>
      <c r="Q12" s="73">
        <f>IF('nb formule'!P57=0,"",'nb formule'!P57)</f>
        <v>9</v>
      </c>
      <c r="R12" s="73">
        <f>'nb formule'!Q57</f>
        <v>0</v>
      </c>
      <c r="S12" s="73">
        <f>'nb formule'!R57</f>
        <v>35</v>
      </c>
      <c r="T12" s="77">
        <f>'nb formule'!S57</f>
        <v>0.25714285714285712</v>
      </c>
      <c r="U12" s="142">
        <f>'nb formule'!X57</f>
        <v>0</v>
      </c>
      <c r="V12" s="142">
        <f>'nb formule'!Y57</f>
        <v>35</v>
      </c>
      <c r="W12" s="72"/>
      <c r="X12" s="76" t="str">
        <f>'nb formule'!I40</f>
        <v>Géométrie analytique</v>
      </c>
      <c r="Y12" s="86">
        <f>'nb formule'!J40</f>
        <v>0</v>
      </c>
      <c r="Z12" s="73" t="str">
        <f>IF('nb formule'!L40=0,"",'nb formule'!L40)</f>
        <v/>
      </c>
      <c r="AA12" s="73" t="str">
        <f>IF('nb formule'!O40=0,"",'nb formule'!O40)</f>
        <v/>
      </c>
      <c r="AB12" s="73" t="str">
        <f>IF('nb formule'!P40=0,"",'nb formule'!P40)</f>
        <v/>
      </c>
      <c r="AC12" s="73">
        <f>'nb formule'!Q40</f>
        <v>0</v>
      </c>
      <c r="AD12" s="73">
        <f>'nb formule'!R40</f>
        <v>55</v>
      </c>
      <c r="AE12" s="77">
        <f>'nb formule'!S40</f>
        <v>0</v>
      </c>
      <c r="AF12" s="142">
        <f>'nb formule'!X40</f>
        <v>0</v>
      </c>
      <c r="AG12" s="142">
        <f>'nb formule'!Y40</f>
        <v>0</v>
      </c>
      <c r="AH12" s="72"/>
      <c r="AI12" s="72"/>
      <c r="AJ12" s="72"/>
      <c r="AK12" s="72"/>
      <c r="AL12" s="72"/>
      <c r="AM12" s="72"/>
      <c r="AN12" s="72"/>
      <c r="AO12" s="72"/>
    </row>
    <row r="13" spans="2:41" x14ac:dyDescent="0.25">
      <c r="B13" s="79" t="str">
        <f>'nb formule'!I13</f>
        <v>Equation du second degré</v>
      </c>
      <c r="C13" s="74">
        <f>'nb formule'!J13</f>
        <v>1</v>
      </c>
      <c r="D13" s="74">
        <f>'nb formule'!L13</f>
        <v>0</v>
      </c>
      <c r="E13" s="73">
        <f>'nb formule'!O13</f>
        <v>3</v>
      </c>
      <c r="F13" s="73">
        <f>'nb formule'!P13</f>
        <v>30</v>
      </c>
      <c r="G13" s="73"/>
      <c r="H13" s="73">
        <f>'nb formule'!R13</f>
        <v>7</v>
      </c>
      <c r="I13" s="77">
        <f>'nb formule'!S13</f>
        <v>4.2857142857142856</v>
      </c>
      <c r="J13" s="142"/>
      <c r="K13" s="142"/>
      <c r="L13" s="144"/>
      <c r="M13" s="85" t="str">
        <f>'nb formule'!I58</f>
        <v>Le nombre pi</v>
      </c>
      <c r="N13" s="86" t="str">
        <f>'nb formule'!J58</f>
        <v>x</v>
      </c>
      <c r="O13" s="68" t="str">
        <f>IF('nb formule'!L58=0,"",'nb formule'!L58=0)</f>
        <v/>
      </c>
      <c r="P13" s="68">
        <f>IF('nb formule'!O58=0,"",'nb formule'!O58)</f>
        <v>1</v>
      </c>
      <c r="Q13" s="73">
        <f>IF('nb formule'!P58=0,"",'nb formule'!P58)</f>
        <v>1</v>
      </c>
      <c r="R13" s="73">
        <f>'nb formule'!Q58</f>
        <v>0</v>
      </c>
      <c r="S13" s="73">
        <f>'nb formule'!R58</f>
        <v>4</v>
      </c>
      <c r="T13" s="77">
        <f>'nb formule'!S58</f>
        <v>0.25</v>
      </c>
      <c r="U13" s="142">
        <f>'nb formule'!X58</f>
        <v>0</v>
      </c>
      <c r="V13" s="142">
        <f>'nb formule'!Y58</f>
        <v>0</v>
      </c>
      <c r="W13" s="72"/>
      <c r="X13" s="76" t="str">
        <f>'nb formule'!I41</f>
        <v>Conique</v>
      </c>
      <c r="Y13" s="86" t="str">
        <f>'nb formule'!J41</f>
        <v>x</v>
      </c>
      <c r="Z13" s="73" t="str">
        <f>IF('nb formule'!L41=0,"",'nb formule'!L41)</f>
        <v/>
      </c>
      <c r="AA13" s="73">
        <f>IF('nb formule'!O41=0,"",'nb formule'!O41)</f>
        <v>2</v>
      </c>
      <c r="AB13" s="73">
        <f>IF('nb formule'!P41=0,"",'nb formule'!P41)</f>
        <v>5</v>
      </c>
      <c r="AC13" s="73">
        <f>'nb formule'!Q41</f>
        <v>0</v>
      </c>
      <c r="AD13" s="73">
        <f>'nb formule'!R41</f>
        <v>16</v>
      </c>
      <c r="AE13" s="77">
        <f>'nb formule'!S41</f>
        <v>0.3125</v>
      </c>
      <c r="AF13" s="142">
        <f>'nb formule'!X41</f>
        <v>0</v>
      </c>
      <c r="AG13" s="142">
        <f>'nb formule'!Y41</f>
        <v>0</v>
      </c>
      <c r="AH13" s="72"/>
      <c r="AI13" s="72"/>
      <c r="AJ13" s="72"/>
      <c r="AK13" s="72"/>
      <c r="AL13" s="72"/>
      <c r="AM13" s="72"/>
      <c r="AN13" s="72"/>
      <c r="AO13" s="72"/>
    </row>
    <row r="14" spans="2:41" ht="15" customHeight="1" x14ac:dyDescent="0.25">
      <c r="B14" s="79" t="str">
        <f>'nb formule'!I14</f>
        <v xml:space="preserve">Equation du troisième degré </v>
      </c>
      <c r="C14" s="78" t="str">
        <f>'nb formule'!J14</f>
        <v>x</v>
      </c>
      <c r="D14" s="74"/>
      <c r="E14" s="73">
        <f>'nb formule'!O14</f>
        <v>3</v>
      </c>
      <c r="F14" s="73">
        <f>'nb formule'!P14</f>
        <v>6</v>
      </c>
      <c r="G14" s="73">
        <f>'nb formule'!Q14</f>
        <v>-3</v>
      </c>
      <c r="H14" s="73">
        <f>'nb formule'!R14</f>
        <v>7</v>
      </c>
      <c r="I14" s="77">
        <f>'nb formule'!S14</f>
        <v>0.8571428571428571</v>
      </c>
      <c r="J14" s="142"/>
      <c r="K14" s="142"/>
      <c r="L14" s="144"/>
      <c r="M14" s="85" t="str">
        <f>'nb formule'!I59</f>
        <v>Intégrale : Généralité et type d'intégration</v>
      </c>
      <c r="N14" s="86">
        <f>'nb formule'!J59</f>
        <v>1</v>
      </c>
      <c r="O14" s="68" t="str">
        <f>IF('nb formule'!L59=0,"",'nb formule'!L59=0)</f>
        <v/>
      </c>
      <c r="P14" s="68" t="str">
        <f>IF('nb formule'!O59=0,"",'nb formule'!O59)</f>
        <v/>
      </c>
      <c r="Q14" s="73">
        <f>IF('nb formule'!P59=0,"",'nb formule'!P59)</f>
        <v>16</v>
      </c>
      <c r="R14" s="73">
        <f>'nb formule'!Q59</f>
        <v>0</v>
      </c>
      <c r="S14" s="73">
        <f>'nb formule'!R59</f>
        <v>16</v>
      </c>
      <c r="T14" s="77">
        <f>'nb formule'!S59</f>
        <v>1</v>
      </c>
      <c r="U14" s="142">
        <f>'nb formule'!X59</f>
        <v>0</v>
      </c>
      <c r="V14" s="142">
        <f>'nb formule'!Y59</f>
        <v>0</v>
      </c>
      <c r="W14" s="72"/>
      <c r="X14" s="76" t="str">
        <f>'nb formule'!I42</f>
        <v>Courbes diverses</v>
      </c>
      <c r="Y14" s="86">
        <f>'nb formule'!J42</f>
        <v>0</v>
      </c>
      <c r="Z14" s="73" t="str">
        <f>IF('nb formule'!L42=0,"",'nb formule'!L42)</f>
        <v/>
      </c>
      <c r="AA14" s="73" t="str">
        <f>IF('nb formule'!O42=0,"",'nb formule'!O42)</f>
        <v/>
      </c>
      <c r="AB14" s="73" t="str">
        <f>IF('nb formule'!P42=0,"",'nb formule'!P42)</f>
        <v/>
      </c>
      <c r="AC14" s="73">
        <f>'nb formule'!Q42</f>
        <v>0</v>
      </c>
      <c r="AD14" s="73">
        <f>'nb formule'!R42</f>
        <v>42</v>
      </c>
      <c r="AE14" s="77">
        <f>'nb formule'!S42</f>
        <v>0</v>
      </c>
      <c r="AF14" s="142">
        <f>'nb formule'!X42</f>
        <v>0</v>
      </c>
      <c r="AG14" s="142">
        <f>'nb formule'!Y42</f>
        <v>0</v>
      </c>
      <c r="AH14" s="72"/>
      <c r="AI14" s="72"/>
      <c r="AJ14" s="72"/>
      <c r="AK14" s="72"/>
      <c r="AL14" s="72"/>
      <c r="AM14" s="72"/>
      <c r="AN14" s="72"/>
      <c r="AO14" s="72"/>
    </row>
    <row r="15" spans="2:41" ht="15" customHeight="1" x14ac:dyDescent="0.25">
      <c r="B15" s="79" t="str">
        <f>'nb formule'!I15</f>
        <v>Equation du quatrième degré</v>
      </c>
      <c r="C15" s="74">
        <f>'nb formule'!J15</f>
        <v>0</v>
      </c>
      <c r="D15" s="74"/>
      <c r="E15" s="73"/>
      <c r="F15" s="73">
        <f>'nb formule'!P15</f>
        <v>0</v>
      </c>
      <c r="G15" s="73"/>
      <c r="H15" s="73">
        <f>'nb formule'!R15</f>
        <v>2</v>
      </c>
      <c r="I15" s="77">
        <f>'nb formule'!S15</f>
        <v>0</v>
      </c>
      <c r="J15" s="142"/>
      <c r="K15" s="142"/>
      <c r="L15" s="144"/>
      <c r="M15" s="85" t="str">
        <f>'nb formule'!I60</f>
        <v>Intégrales usuelles de fonction de référence</v>
      </c>
      <c r="N15" s="86" t="str">
        <f>'nb formule'!J60</f>
        <v>x</v>
      </c>
      <c r="O15" s="68" t="str">
        <f>IF('nb formule'!L60=0,"",'nb formule'!L60=0)</f>
        <v/>
      </c>
      <c r="P15" s="68">
        <f>IF('nb formule'!O60=0,"",'nb formule'!O60)</f>
        <v>11</v>
      </c>
      <c r="Q15" s="73">
        <f>IF('nb formule'!P60=0,"",'nb formule'!P60)</f>
        <v>104</v>
      </c>
      <c r="R15" s="73">
        <f>'nb formule'!Q60</f>
        <v>134</v>
      </c>
      <c r="S15" s="73">
        <f>'nb formule'!R60</f>
        <v>53</v>
      </c>
      <c r="T15" s="77">
        <f>'nb formule'!S60</f>
        <v>1.9622641509433962</v>
      </c>
      <c r="U15" s="142">
        <f>'nb formule'!X60</f>
        <v>0</v>
      </c>
      <c r="V15" s="142">
        <f>'nb formule'!Y60</f>
        <v>0</v>
      </c>
      <c r="W15" s="72"/>
      <c r="X15" s="76">
        <f>'nb formule'!I43</f>
        <v>0</v>
      </c>
      <c r="Y15" s="86">
        <f>'nb formule'!J43</f>
        <v>0</v>
      </c>
      <c r="Z15" s="73" t="str">
        <f>IF('nb formule'!L43=0,"",'nb formule'!L43)</f>
        <v/>
      </c>
      <c r="AA15" s="73" t="str">
        <f>IF('nb formule'!O43=0,"",'nb formule'!O43)</f>
        <v/>
      </c>
      <c r="AB15" s="73" t="str">
        <f>IF('nb formule'!P43=0,"",'nb formule'!P43)</f>
        <v/>
      </c>
      <c r="AC15" s="73">
        <f>'nb formule'!Q43</f>
        <v>0</v>
      </c>
      <c r="AD15" s="73">
        <f>'nb formule'!R43</f>
        <v>0</v>
      </c>
      <c r="AE15" s="77">
        <f>'nb formule'!S43</f>
        <v>0</v>
      </c>
      <c r="AF15" s="142">
        <f>'nb formule'!X43</f>
        <v>0</v>
      </c>
      <c r="AG15" s="142">
        <f>'nb formule'!Y43</f>
        <v>0</v>
      </c>
      <c r="AH15" s="72"/>
      <c r="AI15" s="72"/>
      <c r="AJ15" s="72"/>
      <c r="AK15" s="72"/>
      <c r="AL15" s="72"/>
      <c r="AM15" s="72"/>
      <c r="AN15" s="72"/>
      <c r="AO15" s="72"/>
    </row>
    <row r="16" spans="2:41" ht="15" customHeight="1" x14ac:dyDescent="0.25">
      <c r="B16" s="79" t="str">
        <f>'nb formule'!I16</f>
        <v>Equation du cinquième degré</v>
      </c>
      <c r="C16" s="74">
        <f>'nb formule'!J16</f>
        <v>0</v>
      </c>
      <c r="D16" s="74"/>
      <c r="E16" s="73"/>
      <c r="F16" s="73">
        <f>'nb formule'!P16</f>
        <v>0</v>
      </c>
      <c r="G16" s="73"/>
      <c r="H16" s="73"/>
      <c r="I16" s="77">
        <f>'nb formule'!S16</f>
        <v>0</v>
      </c>
      <c r="J16" s="142"/>
      <c r="K16" s="142"/>
      <c r="L16" s="144"/>
      <c r="M16" s="85" t="str">
        <f>'nb formule'!I61</f>
        <v>Intégrale définie</v>
      </c>
      <c r="N16" s="86" t="str">
        <f>'nb formule'!J60</f>
        <v>x</v>
      </c>
      <c r="O16" s="68" t="str">
        <f>IF('nb formule'!L61=0,"",'nb formule'!L61=0)</f>
        <v/>
      </c>
      <c r="P16" s="68" t="str">
        <f>IF('nb formule'!O61=0,"",'nb formule'!O61)</f>
        <v/>
      </c>
      <c r="Q16" s="73" t="str">
        <f>IF('nb formule'!P61=0,"",'nb formule'!P61)</f>
        <v/>
      </c>
      <c r="R16" s="73">
        <f>'nb formule'!Q61</f>
        <v>0</v>
      </c>
      <c r="S16" s="73">
        <f>'nb formule'!R61</f>
        <v>30</v>
      </c>
      <c r="T16" s="77">
        <f>'nb formule'!S61</f>
        <v>0</v>
      </c>
      <c r="U16" s="142">
        <f>'nb formule'!X61</f>
        <v>0</v>
      </c>
      <c r="V16" s="142">
        <f>'nb formule'!Y61</f>
        <v>0</v>
      </c>
      <c r="W16" s="72"/>
      <c r="X16" s="192">
        <f>'nb formule'!I43</f>
        <v>0</v>
      </c>
      <c r="Y16" s="28">
        <f>'nb formule'!J43</f>
        <v>0</v>
      </c>
      <c r="Z16" s="28">
        <f>'nb formule'!L43</f>
        <v>0</v>
      </c>
      <c r="AA16" s="28">
        <f>'nb formule'!O43</f>
        <v>0</v>
      </c>
      <c r="AB16" s="28">
        <f>'nb formule'!P43</f>
        <v>0</v>
      </c>
      <c r="AC16" s="28">
        <f>'nb formule'!Q43</f>
        <v>0</v>
      </c>
      <c r="AD16" s="28">
        <f>'nb formule'!R43</f>
        <v>0</v>
      </c>
      <c r="AE16" s="81">
        <f>'nb formule'!S43</f>
        <v>0</v>
      </c>
      <c r="AF16" s="152">
        <f>'nb formule'!X43</f>
        <v>0</v>
      </c>
      <c r="AG16" s="152">
        <f>'nb formule'!Y43</f>
        <v>0</v>
      </c>
      <c r="AH16" s="72"/>
      <c r="AI16" s="72"/>
      <c r="AJ16" s="72"/>
      <c r="AK16" s="72"/>
      <c r="AL16" s="72"/>
      <c r="AM16" s="72"/>
      <c r="AN16" s="72"/>
      <c r="AO16" s="72"/>
    </row>
    <row r="17" spans="2:56" ht="19.5" customHeight="1" x14ac:dyDescent="0.25">
      <c r="B17" s="79" t="str">
        <f>'nb formule'!I17</f>
        <v>Système d’équation 2 2</v>
      </c>
      <c r="C17" s="74">
        <f>'nb formule'!J17</f>
        <v>1</v>
      </c>
      <c r="D17" s="74"/>
      <c r="E17" s="73"/>
      <c r="F17" s="73">
        <f>'nb formule'!P17</f>
        <v>10</v>
      </c>
      <c r="G17" s="73"/>
      <c r="H17" s="73">
        <f>'nb formule'!R17</f>
        <v>2</v>
      </c>
      <c r="I17" s="77">
        <f>'nb formule'!S17</f>
        <v>5</v>
      </c>
      <c r="J17" s="142"/>
      <c r="K17" s="142"/>
      <c r="L17" s="144"/>
      <c r="M17" s="85" t="str">
        <f>'nb formule'!I62</f>
        <v>Intégrale double</v>
      </c>
      <c r="N17" s="86">
        <f>'nb formule'!J61</f>
        <v>0</v>
      </c>
      <c r="O17" s="68" t="str">
        <f>IF('nb formule'!L62=0,"",'nb formule'!L62=0)</f>
        <v/>
      </c>
      <c r="P17" s="68" t="str">
        <f>IF('nb formule'!O62=0,"",'nb formule'!O62)</f>
        <v/>
      </c>
      <c r="Q17" s="73" t="str">
        <f>IF('nb formule'!P62=0,"",'nb formule'!P62)</f>
        <v/>
      </c>
      <c r="R17" s="73">
        <f>'nb formule'!Q62</f>
        <v>0</v>
      </c>
      <c r="S17" s="73">
        <f>'nb formule'!R62</f>
        <v>0</v>
      </c>
      <c r="T17" s="77" t="str">
        <f>'nb formule'!S62</f>
        <v/>
      </c>
      <c r="U17" s="142">
        <f>'nb formule'!X62</f>
        <v>0</v>
      </c>
      <c r="V17" s="142">
        <f>'nb formule'!Y62</f>
        <v>0</v>
      </c>
      <c r="W17" s="72"/>
      <c r="X17" s="136" t="str">
        <f>'nb formule'!I44</f>
        <v>nombre de dossiers = 3 / 11 = 27,27%</v>
      </c>
      <c r="Y17" s="150">
        <f>'nb formule'!J44</f>
        <v>3</v>
      </c>
      <c r="Z17" s="38">
        <f>'nb formule'!L44</f>
        <v>1</v>
      </c>
      <c r="AA17" s="38">
        <f>'nb formule'!O44</f>
        <v>8</v>
      </c>
      <c r="AB17" s="151">
        <f>'nb formule'!P44</f>
        <v>220</v>
      </c>
      <c r="AC17" s="151">
        <f>'nb formule'!Q44</f>
        <v>11</v>
      </c>
      <c r="AD17" s="83">
        <f>'nb formule'!R44</f>
        <v>297</v>
      </c>
      <c r="AE17" s="84">
        <f>'nb formule'!S44</f>
        <v>0.7407407407407407</v>
      </c>
      <c r="AF17" s="145">
        <f>'nb formule'!X44</f>
        <v>0</v>
      </c>
      <c r="AG17" s="145">
        <f>'nb formule'!Y44</f>
        <v>2</v>
      </c>
      <c r="AH17" s="72"/>
      <c r="AI17" s="72"/>
      <c r="AJ17" s="72"/>
      <c r="AK17" s="72"/>
      <c r="AL17" s="72"/>
      <c r="AM17" s="72"/>
      <c r="AN17" s="72"/>
      <c r="AO17" s="72"/>
    </row>
    <row r="18" spans="2:56" ht="15" customHeight="1" x14ac:dyDescent="0.25">
      <c r="B18" s="79" t="str">
        <f>'nb formule'!I18</f>
        <v>système d'équation 3,2</v>
      </c>
      <c r="C18" s="74">
        <f>'nb formule'!J18</f>
        <v>1</v>
      </c>
      <c r="D18" s="74"/>
      <c r="E18" s="73">
        <f>'nb formule'!O18</f>
        <v>1</v>
      </c>
      <c r="F18" s="73">
        <f>'nb formule'!P18</f>
        <v>1</v>
      </c>
      <c r="G18" s="73"/>
      <c r="H18" s="73"/>
      <c r="I18" s="77" t="str">
        <f>'nb formule'!S18</f>
        <v/>
      </c>
      <c r="J18" s="142"/>
      <c r="K18" s="142"/>
      <c r="L18" s="144"/>
      <c r="M18" s="85" t="str">
        <f>'nb formule'!I63</f>
        <v>Intégrale triple</v>
      </c>
      <c r="N18" s="86">
        <f>'nb formule'!J62</f>
        <v>0</v>
      </c>
      <c r="O18" s="68" t="str">
        <f>IF('nb formule'!L63=0,"",'nb formule'!L63=0)</f>
        <v/>
      </c>
      <c r="P18" s="68" t="str">
        <f>IF('nb formule'!O63=0,"",'nb formule'!O63)</f>
        <v/>
      </c>
      <c r="Q18" s="73" t="str">
        <f>IF('nb formule'!P63=0,"",'nb formule'!P63)</f>
        <v/>
      </c>
      <c r="R18" s="73">
        <f>'nb formule'!Q63</f>
        <v>0</v>
      </c>
      <c r="S18" s="73">
        <f>'nb formule'!R63</f>
        <v>0</v>
      </c>
      <c r="T18" s="77" t="str">
        <f>'nb formule'!S63</f>
        <v/>
      </c>
      <c r="U18" s="142">
        <f>'nb formule'!X63</f>
        <v>0</v>
      </c>
      <c r="V18" s="142">
        <f>'nb formule'!Y63</f>
        <v>0</v>
      </c>
      <c r="W18" s="72"/>
      <c r="X18" s="161" t="str">
        <f>'nb formule'!I82</f>
        <v>nombre de dossiers = 20 / 55 = 36,36%</v>
      </c>
      <c r="Y18" s="80">
        <f>'nb formule'!J82</f>
        <v>20</v>
      </c>
      <c r="Z18" s="137">
        <f>'nb formule'!L82</f>
        <v>4</v>
      </c>
      <c r="AA18" s="137">
        <f>'nb formule'!O82</f>
        <v>93.5</v>
      </c>
      <c r="AB18" s="137">
        <f>'nb formule'!P82</f>
        <v>758</v>
      </c>
      <c r="AC18" s="137">
        <f>'nb formule'!Q82</f>
        <v>116</v>
      </c>
      <c r="AD18" s="137">
        <f>'nb formule'!R82</f>
        <v>839</v>
      </c>
      <c r="AE18" s="81">
        <f>'nb formule'!S82</f>
        <v>0.90345649582836707</v>
      </c>
      <c r="AF18" s="152">
        <f>'nb formule'!X82</f>
        <v>57</v>
      </c>
      <c r="AG18" s="152">
        <f>'nb formule'!Y82</f>
        <v>119</v>
      </c>
      <c r="AH18" s="72"/>
      <c r="AI18" s="72"/>
      <c r="AJ18" s="72"/>
      <c r="AK18" s="72"/>
      <c r="AL18" s="72"/>
      <c r="AM18" s="72"/>
      <c r="AN18" s="72"/>
      <c r="AO18" s="72"/>
    </row>
    <row r="19" spans="2:56" ht="15" customHeight="1" x14ac:dyDescent="0.25">
      <c r="B19" s="79" t="str">
        <f>'nb formule'!I19</f>
        <v>Système d’équation 3.3 (15 formes ¹ )</v>
      </c>
      <c r="C19" s="74">
        <f>'nb formule'!J19</f>
        <v>1</v>
      </c>
      <c r="D19" s="74">
        <f>'nb formule'!L19</f>
        <v>1</v>
      </c>
      <c r="E19" s="73">
        <f>'nb formule'!O19</f>
        <v>11</v>
      </c>
      <c r="F19" s="73">
        <f>'nb formule'!P19</f>
        <v>15</v>
      </c>
      <c r="G19" s="73"/>
      <c r="H19" s="73">
        <f>'nb formule'!R19</f>
        <v>4</v>
      </c>
      <c r="I19" s="77">
        <f>'nb formule'!S19</f>
        <v>3.75</v>
      </c>
      <c r="J19" s="142"/>
      <c r="K19" s="142"/>
      <c r="L19" s="144"/>
      <c r="M19" s="85" t="str">
        <f>'nb formule'!I64</f>
        <v>Equations différentielles</v>
      </c>
      <c r="N19" s="86">
        <f>'nb formule'!J63</f>
        <v>0</v>
      </c>
      <c r="O19" s="68" t="str">
        <f>IF('nb formule'!L64=0,"",'nb formule'!L64=0)</f>
        <v/>
      </c>
      <c r="P19" s="68" t="str">
        <f>IF('nb formule'!O64=0,"",'nb formule'!O64)</f>
        <v/>
      </c>
      <c r="Q19" s="73" t="str">
        <f>IF('nb formule'!P64=0,"",'nb formule'!P64)</f>
        <v/>
      </c>
      <c r="R19" s="73">
        <f>'nb formule'!Q64</f>
        <v>0</v>
      </c>
      <c r="S19" s="73">
        <f>'nb formule'!R64</f>
        <v>28</v>
      </c>
      <c r="T19" s="77">
        <f>'nb formule'!S64</f>
        <v>0</v>
      </c>
      <c r="U19" s="142">
        <f>'nb formule'!X64</f>
        <v>0</v>
      </c>
      <c r="V19" s="142">
        <f>'nb formule'!Y64</f>
        <v>0</v>
      </c>
      <c r="W19" s="72"/>
      <c r="X19" t="s">
        <v>297</v>
      </c>
      <c r="Y19" s="160"/>
      <c r="AB19" s="160"/>
      <c r="AC19" s="160"/>
      <c r="AD19">
        <f>'nb formule'!R84</f>
        <v>896</v>
      </c>
      <c r="AF19" s="144">
        <f>'nb formule'!X84</f>
        <v>57</v>
      </c>
      <c r="AG19" s="144"/>
      <c r="AH19" s="72"/>
      <c r="AI19" s="72"/>
      <c r="AJ19" s="72"/>
      <c r="AK19" s="72"/>
      <c r="AL19" s="72"/>
      <c r="AM19" s="72"/>
      <c r="AN19" s="72"/>
      <c r="AO19" s="72"/>
    </row>
    <row r="20" spans="2:56" ht="15" customHeight="1" x14ac:dyDescent="0.25">
      <c r="B20" s="79" t="str">
        <f>'nb formule'!I20</f>
        <v>Système gaussien</v>
      </c>
      <c r="C20" s="74" t="str">
        <f>'nb formule'!J20</f>
        <v>x</v>
      </c>
      <c r="D20" s="74"/>
      <c r="E20" s="73">
        <f>'nb formule'!O20</f>
        <v>2</v>
      </c>
      <c r="F20" s="73">
        <f>'nb formule'!P20</f>
        <v>2</v>
      </c>
      <c r="G20" s="73"/>
      <c r="H20" s="73">
        <f>'nb formule'!R20</f>
        <v>1</v>
      </c>
      <c r="I20" s="77">
        <f>'nb formule'!S20</f>
        <v>2</v>
      </c>
      <c r="J20" s="142"/>
      <c r="K20" s="142"/>
      <c r="L20" s="144"/>
      <c r="M20" s="85" t="str">
        <f>'nb formule'!I65</f>
        <v>Equations quadratique</v>
      </c>
      <c r="N20" s="86">
        <f>'nb formule'!J64</f>
        <v>0</v>
      </c>
      <c r="O20" s="68" t="str">
        <f>IF('nb formule'!L65=0,"",'nb formule'!L65=0)</f>
        <v/>
      </c>
      <c r="P20" s="68" t="str">
        <f>IF('nb formule'!O65=0,"",'nb formule'!O65)</f>
        <v/>
      </c>
      <c r="Q20" s="73">
        <f>IF('nb formule'!P65=0,"",'nb formule'!P65)</f>
        <v>4</v>
      </c>
      <c r="R20" s="73">
        <f>'nb formule'!Q65</f>
        <v>0</v>
      </c>
      <c r="S20" s="73">
        <f>'nb formule'!R65</f>
        <v>8</v>
      </c>
      <c r="T20" s="77">
        <f>'nb formule'!S65</f>
        <v>0.5</v>
      </c>
      <c r="U20" s="142">
        <f>'nb formule'!X65</f>
        <v>0</v>
      </c>
      <c r="V20" s="142">
        <f>'nb formule'!Y65</f>
        <v>0</v>
      </c>
      <c r="W20" s="72"/>
      <c r="AI20" s="72"/>
      <c r="AJ20" s="72"/>
      <c r="AK20" s="72"/>
      <c r="AL20" s="72"/>
      <c r="AM20" s="72"/>
      <c r="AN20" s="72"/>
      <c r="AO20" s="72"/>
    </row>
    <row r="21" spans="2:56" ht="15" customHeight="1" x14ac:dyDescent="0.25">
      <c r="B21" s="79" t="str">
        <f>'nb formule'!I21</f>
        <v>Equation polynomiales</v>
      </c>
      <c r="C21" s="74">
        <f>'nb formule'!J21</f>
        <v>0</v>
      </c>
      <c r="D21" s="74"/>
      <c r="E21" s="73"/>
      <c r="F21" s="73"/>
      <c r="G21" s="73"/>
      <c r="H21" s="73"/>
      <c r="I21" s="77">
        <f>'nb formule'!S21</f>
        <v>0</v>
      </c>
      <c r="J21" s="142"/>
      <c r="K21" s="142"/>
      <c r="L21" s="144"/>
      <c r="M21" s="85" t="str">
        <f>'nb formule'!I66</f>
        <v>Fonctions</v>
      </c>
      <c r="N21" s="86">
        <f>'nb formule'!J65</f>
        <v>0</v>
      </c>
      <c r="O21" s="68" t="str">
        <f>IF('nb formule'!L66=0,"",'nb formule'!L66=0)</f>
        <v/>
      </c>
      <c r="P21" s="68" t="str">
        <f>IF('nb formule'!O66=0,"",'nb formule'!O66)</f>
        <v/>
      </c>
      <c r="Q21" s="73" t="str">
        <f>IF('nb formule'!P66=0,"",'nb formule'!P66)</f>
        <v/>
      </c>
      <c r="R21" s="73">
        <f>'nb formule'!Q66</f>
        <v>0</v>
      </c>
      <c r="S21" s="73">
        <f>'nb formule'!R66</f>
        <v>35</v>
      </c>
      <c r="T21" s="77">
        <f>'nb formule'!S66</f>
        <v>0</v>
      </c>
      <c r="U21" s="142">
        <f>'nb formule'!X66</f>
        <v>1190</v>
      </c>
      <c r="V21" s="142">
        <f>'nb formule'!Y66</f>
        <v>0</v>
      </c>
      <c r="W21" s="72"/>
      <c r="X21" s="35" t="s">
        <v>106</v>
      </c>
      <c r="Y21" s="165" t="s">
        <v>150</v>
      </c>
      <c r="Z21" s="36"/>
      <c r="AA21" s="36"/>
      <c r="AB21" s="36"/>
      <c r="AC21" s="36"/>
      <c r="AD21" s="397" t="s">
        <v>87</v>
      </c>
      <c r="AE21" s="398"/>
      <c r="AF21" s="394" t="s">
        <v>291</v>
      </c>
      <c r="AG21" s="395"/>
      <c r="AH21" s="138"/>
      <c r="AI21" s="72"/>
      <c r="AJ21" s="72"/>
      <c r="AK21" s="72"/>
      <c r="AL21" s="72"/>
      <c r="AM21" s="72"/>
      <c r="AN21" s="72"/>
      <c r="AO21" s="72"/>
    </row>
    <row r="22" spans="2:56" ht="15" customHeight="1" x14ac:dyDescent="0.25">
      <c r="B22" s="79" t="str">
        <f>'nb formule'!I22</f>
        <v>Nombres complexes</v>
      </c>
      <c r="C22" s="74">
        <f>'nb formule'!J22</f>
        <v>1</v>
      </c>
      <c r="D22" s="74"/>
      <c r="E22" s="73"/>
      <c r="F22" s="73">
        <f>'nb formule'!P22</f>
        <v>35</v>
      </c>
      <c r="G22" s="73">
        <f>'nb formule'!Q22</f>
        <v>-5</v>
      </c>
      <c r="H22" s="73">
        <f>'nb formule'!R22</f>
        <v>40</v>
      </c>
      <c r="I22" s="77">
        <f>'nb formule'!S22</f>
        <v>0.875</v>
      </c>
      <c r="J22" s="142"/>
      <c r="K22" s="142"/>
      <c r="L22" s="144"/>
      <c r="M22" s="85" t="str">
        <f>'nb formule'!I67</f>
        <v>Fonction Polynomiales</v>
      </c>
      <c r="N22" s="136">
        <f>'nb formule'!J66</f>
        <v>0</v>
      </c>
      <c r="O22" s="68" t="str">
        <f>IF('nb formule'!L67=0,"",'nb formule'!L67=0)</f>
        <v/>
      </c>
      <c r="P22" s="68">
        <f>IF('nb formule'!O67=0,"",'nb formule'!O67)</f>
        <v>2</v>
      </c>
      <c r="Q22" s="73">
        <f>IF('nb formule'!P67=0,"",'nb formule'!P67)</f>
        <v>36</v>
      </c>
      <c r="R22" s="83">
        <f>'nb formule'!Q67</f>
        <v>0</v>
      </c>
      <c r="S22" s="83">
        <f>'nb formule'!R67</f>
        <v>34</v>
      </c>
      <c r="T22" s="84">
        <f>'nb formule'!S67</f>
        <v>1.0588235294117647</v>
      </c>
      <c r="U22" s="142">
        <f>'nb formule'!X67</f>
        <v>20</v>
      </c>
      <c r="V22" s="142">
        <f>'nb formule'!Y67</f>
        <v>0</v>
      </c>
      <c r="W22" s="72"/>
      <c r="X22" s="68"/>
      <c r="Y22" s="32" t="s">
        <v>148</v>
      </c>
      <c r="Z22" s="32" t="s">
        <v>98</v>
      </c>
      <c r="AA22" s="32" t="s">
        <v>17</v>
      </c>
      <c r="AB22" s="32"/>
      <c r="AC22" s="32" t="s">
        <v>97</v>
      </c>
      <c r="AD22" s="32" t="s">
        <v>27</v>
      </c>
      <c r="AE22" s="69" t="s">
        <v>104</v>
      </c>
      <c r="AF22" s="155" t="s">
        <v>295</v>
      </c>
      <c r="AG22" s="155" t="s">
        <v>296</v>
      </c>
      <c r="AH22" s="141"/>
      <c r="AI22" s="72"/>
      <c r="AJ22" s="72"/>
      <c r="AK22" s="72"/>
      <c r="AL22" s="72"/>
      <c r="AM22" s="72"/>
      <c r="AN22" s="72"/>
      <c r="AO22" s="72"/>
    </row>
    <row r="23" spans="2:56" ht="15" customHeight="1" x14ac:dyDescent="0.25">
      <c r="B23" s="79" t="str">
        <f>'nb formule'!I23</f>
        <v>Calculs matriciels</v>
      </c>
      <c r="C23" s="78" t="str">
        <f>'nb formule'!J23</f>
        <v>x</v>
      </c>
      <c r="D23" s="74"/>
      <c r="E23" s="73"/>
      <c r="F23" s="73">
        <f>'nb formule'!P23</f>
        <v>11</v>
      </c>
      <c r="G23" s="73"/>
      <c r="H23" s="73">
        <f>'nb formule'!R23</f>
        <v>0</v>
      </c>
      <c r="I23" s="77" t="str">
        <f>'nb formule'!S23</f>
        <v/>
      </c>
      <c r="J23" s="142"/>
      <c r="K23" s="142"/>
      <c r="L23" s="144"/>
      <c r="M23" s="85" t="str">
        <f>'nb formule'!I71</f>
        <v>Fonctions Rationnelles</v>
      </c>
      <c r="N23" s="68">
        <f>'nb formule'!J67</f>
        <v>1</v>
      </c>
      <c r="O23" s="68" t="str">
        <f>IF('nb formule'!L71=0,"",'nb formule'!L71=0)</f>
        <v/>
      </c>
      <c r="P23" s="68" t="str">
        <f>IF('nb formule'!O71=0,"",'nb formule'!O71)</f>
        <v/>
      </c>
      <c r="Q23" s="73" t="str">
        <f>IF('nb formule'!P71=0,"",'nb formule'!P71)</f>
        <v/>
      </c>
      <c r="R23" s="73">
        <f>'nb formule'!Q71</f>
        <v>0</v>
      </c>
      <c r="S23" s="73">
        <f>'nb formule'!R71</f>
        <v>0</v>
      </c>
      <c r="T23" s="77" t="str">
        <f>'nb formule'!S71</f>
        <v/>
      </c>
      <c r="U23" s="142">
        <f>'nb formule'!X71</f>
        <v>0</v>
      </c>
      <c r="V23" s="142">
        <f>'nb formule'!Y71</f>
        <v>0</v>
      </c>
      <c r="W23" s="72"/>
      <c r="X23" s="37" t="str">
        <f>'nb formule'!I89</f>
        <v xml:space="preserve">Algèbre ( 12 dossiers  / 23 = 52,17% ) </v>
      </c>
      <c r="Y23" s="165" t="str">
        <f>'nb formule'!J89</f>
        <v>52,17%</v>
      </c>
      <c r="Z23" s="38">
        <f>'nb formule'!L89</f>
        <v>1</v>
      </c>
      <c r="AA23" s="38">
        <f>'nb formule'!O89</f>
        <v>40.5</v>
      </c>
      <c r="AB23" s="165">
        <f>'nb formule'!P89</f>
        <v>250</v>
      </c>
      <c r="AC23" s="165">
        <f>'nb formule'!Q89</f>
        <v>-8</v>
      </c>
      <c r="AD23" s="165">
        <f>'nb formule'!R89</f>
        <v>160</v>
      </c>
      <c r="AE23" s="39">
        <f>'nb formule'!S89</f>
        <v>1.5625</v>
      </c>
      <c r="AF23" s="166">
        <f>'nb formule'!X89</f>
        <v>3</v>
      </c>
      <c r="AG23" s="142"/>
      <c r="AH23" s="142">
        <f>'nb formule'!Z89</f>
        <v>163</v>
      </c>
      <c r="AI23" s="72"/>
      <c r="AJ23" s="72"/>
      <c r="AK23" s="72"/>
      <c r="AL23" s="72"/>
      <c r="AM23" s="72"/>
      <c r="AN23" s="72"/>
      <c r="AO23" s="72"/>
    </row>
    <row r="24" spans="2:56" ht="15" customHeight="1" x14ac:dyDescent="0.25">
      <c r="B24" s="79" t="str">
        <f>'nb formule'!I24</f>
        <v>Suite numérique</v>
      </c>
      <c r="C24" s="74">
        <f>'nb formule'!J24</f>
        <v>1</v>
      </c>
      <c r="D24" s="74"/>
      <c r="E24" s="73"/>
      <c r="F24" s="73">
        <f>'nb formule'!P24</f>
        <v>6</v>
      </c>
      <c r="G24" s="73"/>
      <c r="H24" s="73">
        <f>'nb formule'!R24</f>
        <v>6</v>
      </c>
      <c r="I24" s="77">
        <f>'nb formule'!S24</f>
        <v>1</v>
      </c>
      <c r="J24" s="142"/>
      <c r="K24" s="142"/>
      <c r="L24" s="144"/>
      <c r="M24" s="85" t="str">
        <f>'nb formule'!I72</f>
        <v>Fonction Irrationnelles</v>
      </c>
      <c r="N24" s="68">
        <f>'nb formule'!J71</f>
        <v>0</v>
      </c>
      <c r="O24" s="68" t="str">
        <f>IF('nb formule'!L72=0,"",'nb formule'!L72=0)</f>
        <v/>
      </c>
      <c r="P24" s="68" t="str">
        <f>IF('nb formule'!O72=0,"",'nb formule'!O72)</f>
        <v/>
      </c>
      <c r="Q24" s="73" t="str">
        <f>IF('nb formule'!P72=0,"",'nb formule'!P72)</f>
        <v/>
      </c>
      <c r="R24" s="73">
        <f>'nb formule'!Q72</f>
        <v>0</v>
      </c>
      <c r="S24" s="73">
        <f>'nb formule'!R72</f>
        <v>0</v>
      </c>
      <c r="T24" s="77" t="str">
        <f>'nb formule'!S72</f>
        <v/>
      </c>
      <c r="U24" s="142">
        <f>'nb formule'!X72</f>
        <v>0</v>
      </c>
      <c r="V24" s="142">
        <f>'nb formule'!Y72</f>
        <v>0</v>
      </c>
      <c r="W24" s="72"/>
      <c r="X24" s="40" t="str">
        <f>'nb formule'!I90</f>
        <v xml:space="preserve">Analyse ( 5 dossiers / 21 = 23,8% ) </v>
      </c>
      <c r="Y24" s="42" t="str">
        <f>'nb formule'!J90</f>
        <v>23,8%</v>
      </c>
      <c r="Z24" s="32">
        <f>'nb formule'!L90</f>
        <v>1</v>
      </c>
      <c r="AA24" s="32">
        <f>'nb formule'!O90</f>
        <v>45</v>
      </c>
      <c r="AB24" s="32">
        <f>'nb formule'!P90</f>
        <v>288</v>
      </c>
      <c r="AC24" s="32">
        <f>'nb formule'!Q90</f>
        <v>113</v>
      </c>
      <c r="AD24" s="32">
        <f>'nb formule'!R90</f>
        <v>382</v>
      </c>
      <c r="AE24" s="43">
        <f>'nb formule'!S90</f>
        <v>0.75392670157068065</v>
      </c>
      <c r="AF24" s="166">
        <f>'nb formule'!X90</f>
        <v>54</v>
      </c>
      <c r="AG24" s="139">
        <f>AG1</f>
        <v>0</v>
      </c>
      <c r="AH24" s="142">
        <f>'nb formule'!Z90</f>
        <v>436</v>
      </c>
      <c r="AI24" s="72"/>
      <c r="AJ24" s="72"/>
      <c r="AK24" s="72"/>
      <c r="AL24" s="72"/>
      <c r="AM24" s="72"/>
      <c r="AN24" s="72"/>
      <c r="AO24" s="72"/>
    </row>
    <row r="25" spans="2:56" ht="15" customHeight="1" x14ac:dyDescent="0.25">
      <c r="B25" s="79" t="str">
        <f>'nb formule'!I25</f>
        <v>S. arithmétique, géométrique, logarithmique</v>
      </c>
      <c r="C25" s="74">
        <f>'nb formule'!J25</f>
        <v>1</v>
      </c>
      <c r="D25" s="74"/>
      <c r="E25" s="73"/>
      <c r="F25" s="73"/>
      <c r="G25" s="73"/>
      <c r="H25" s="73">
        <f>'nb formule'!R25</f>
        <v>20</v>
      </c>
      <c r="I25" s="77">
        <f>'nb formule'!S25</f>
        <v>0.5</v>
      </c>
      <c r="J25" s="142"/>
      <c r="K25" s="142"/>
      <c r="L25" s="144"/>
      <c r="M25" s="85" t="str">
        <f>'nb formule'!I73</f>
        <v>Fonctions trigonométriques</v>
      </c>
      <c r="N25" s="68">
        <f>'nb formule'!J72</f>
        <v>0</v>
      </c>
      <c r="O25" s="68" t="str">
        <f>IF('nb formule'!L73=0,"",'nb formule'!L73=0)</f>
        <v/>
      </c>
      <c r="P25" s="68">
        <f>IF('nb formule'!O73=0,"",'nb formule'!O73)</f>
        <v>3</v>
      </c>
      <c r="Q25" s="73" t="str">
        <f>IF('nb formule'!P73=0,"",'nb formule'!P73)</f>
        <v/>
      </c>
      <c r="R25" s="73">
        <f>'nb formule'!Q73</f>
        <v>0</v>
      </c>
      <c r="S25" s="73">
        <f>'nb formule'!R73</f>
        <v>0</v>
      </c>
      <c r="T25" s="77" t="str">
        <f>'nb formule'!S73</f>
        <v/>
      </c>
      <c r="U25" s="142">
        <f>'nb formule'!X73</f>
        <v>0</v>
      </c>
      <c r="V25" s="142">
        <f>'nb formule'!Y73</f>
        <v>0</v>
      </c>
      <c r="W25" s="72"/>
      <c r="X25" s="44" t="str">
        <f>'nb formule'!I91</f>
        <v xml:space="preserve">Géométrie ( 3 dossiers / 11 = 27,27% ) </v>
      </c>
      <c r="Y25" s="46" t="str">
        <f>'nb formule'!J91</f>
        <v>27,27%</v>
      </c>
      <c r="Z25" s="34">
        <f>'nb formule'!L91</f>
        <v>1</v>
      </c>
      <c r="AA25" s="34">
        <f>'nb formule'!O91</f>
        <v>8</v>
      </c>
      <c r="AB25" s="34">
        <f>'nb formule'!P91</f>
        <v>220</v>
      </c>
      <c r="AC25" s="34">
        <f>'nb formule'!Q91</f>
        <v>11</v>
      </c>
      <c r="AD25" s="34">
        <f>'nb formule'!R91</f>
        <v>297</v>
      </c>
      <c r="AE25" s="47">
        <f>'nb formule'!S91</f>
        <v>0.7407407407407407</v>
      </c>
      <c r="AF25" s="167">
        <f>'nb formule'!X91</f>
        <v>0</v>
      </c>
      <c r="AG25" s="143"/>
      <c r="AH25" s="143">
        <f>'nb formule'!Z91</f>
        <v>297</v>
      </c>
      <c r="AI25" s="72"/>
      <c r="AJ25" s="72"/>
      <c r="AK25" s="72"/>
      <c r="AL25" s="72"/>
      <c r="AM25" s="72"/>
      <c r="AN25" s="72"/>
      <c r="AO25" s="72"/>
    </row>
    <row r="26" spans="2:56" ht="15" customHeight="1" x14ac:dyDescent="0.25">
      <c r="B26" s="79" t="str">
        <f>'nb formule'!I26</f>
        <v>Calculs financier</v>
      </c>
      <c r="C26" s="74">
        <f>'nb formule'!J26</f>
        <v>0</v>
      </c>
      <c r="D26" s="74"/>
      <c r="E26" s="73"/>
      <c r="F26" s="73"/>
      <c r="G26" s="73"/>
      <c r="H26" s="73">
        <f>'nb formule'!R26</f>
        <v>13</v>
      </c>
      <c r="I26" s="77">
        <f>'nb formule'!S26</f>
        <v>0.46153846153846156</v>
      </c>
      <c r="J26" s="142"/>
      <c r="K26" s="142"/>
      <c r="L26" s="144"/>
      <c r="M26" s="85" t="str">
        <f>'nb formule'!I74</f>
        <v>Fonctions trigonométrique réciproques</v>
      </c>
      <c r="N26" s="68">
        <f>'nb formule'!J73</f>
        <v>0</v>
      </c>
      <c r="O26" s="68" t="str">
        <f>IF('nb formule'!L74=0,"",'nb formule'!L74=0)</f>
        <v/>
      </c>
      <c r="P26" s="68" t="str">
        <f>IF('nb formule'!O74=0,"",'nb formule'!O74)</f>
        <v/>
      </c>
      <c r="Q26" s="73">
        <f>IF('nb formule'!P74=0,"",'nb formule'!P74)</f>
        <v>39</v>
      </c>
      <c r="R26" s="73">
        <f>'nb formule'!Q74</f>
        <v>0</v>
      </c>
      <c r="S26" s="73">
        <f>'nb formule'!R74</f>
        <v>36</v>
      </c>
      <c r="T26" s="77">
        <f>'nb formule'!S74</f>
        <v>1.0833333333333333</v>
      </c>
      <c r="U26" s="142">
        <f>'nb formule'!X74</f>
        <v>30</v>
      </c>
      <c r="V26" s="142">
        <f>'nb formule'!Y74</f>
        <v>0</v>
      </c>
      <c r="W26" s="72"/>
      <c r="X26" s="41"/>
      <c r="Y26" s="42"/>
      <c r="Z26" s="41"/>
      <c r="AA26" s="32"/>
      <c r="AB26" s="42"/>
      <c r="AC26" s="42"/>
      <c r="AD26" s="42"/>
      <c r="AE26" s="48"/>
      <c r="AF26" s="144"/>
      <c r="AG26" s="144"/>
      <c r="AH26" s="144"/>
      <c r="AI26" s="72"/>
      <c r="AJ26" s="72"/>
      <c r="AK26" s="72"/>
      <c r="AL26" s="72"/>
      <c r="AM26" s="72"/>
      <c r="AN26" s="72"/>
      <c r="AO26" s="72"/>
    </row>
    <row r="27" spans="2:56" ht="20.25" customHeight="1" x14ac:dyDescent="0.25">
      <c r="B27" s="76" t="e">
        <f>'nb formule'!#REF!</f>
        <v>#REF!</v>
      </c>
      <c r="C27" s="74" t="e">
        <f>'nb formule'!#REF!</f>
        <v>#REF!</v>
      </c>
      <c r="D27" s="74"/>
      <c r="E27" s="73"/>
      <c r="F27" s="73"/>
      <c r="G27" s="73"/>
      <c r="H27" s="73" t="e">
        <f>'nb formule'!#REF!</f>
        <v>#REF!</v>
      </c>
      <c r="I27" s="77" t="e">
        <f>'nb formule'!#REF!</f>
        <v>#REF!</v>
      </c>
      <c r="J27" s="142"/>
      <c r="K27" s="142"/>
      <c r="L27" s="144"/>
      <c r="M27" s="85" t="str">
        <f>'nb formule'!I75</f>
        <v>Fonction exponentielles</v>
      </c>
      <c r="N27" s="68">
        <f>'nb formule'!J74</f>
        <v>0</v>
      </c>
      <c r="O27" s="68" t="str">
        <f>IF('nb formule'!L75=0,"",'nb formule'!L75=0)</f>
        <v/>
      </c>
      <c r="P27" s="68">
        <f>IF('nb formule'!O75=0,"",'nb formule'!O75)</f>
        <v>1</v>
      </c>
      <c r="Q27" s="73" t="str">
        <f>IF('nb formule'!P75=0,"",'nb formule'!P75)</f>
        <v/>
      </c>
      <c r="R27" s="73">
        <f>'nb formule'!Q75</f>
        <v>0</v>
      </c>
      <c r="S27" s="73">
        <f>'nb formule'!R75</f>
        <v>0</v>
      </c>
      <c r="T27" s="77" t="str">
        <f>'nb formule'!S75</f>
        <v/>
      </c>
      <c r="U27" s="142">
        <f>'nb formule'!X75</f>
        <v>0</v>
      </c>
      <c r="V27" s="142">
        <f>'nb formule'!Y75</f>
        <v>0</v>
      </c>
      <c r="W27" s="72"/>
      <c r="X27" s="49" t="s">
        <v>42</v>
      </c>
      <c r="Y27" s="164"/>
      <c r="Z27" s="26">
        <f>'nb formule'!L93</f>
        <v>4</v>
      </c>
      <c r="AA27" s="89">
        <f>'nb formule'!O93</f>
        <v>93.5</v>
      </c>
      <c r="AB27" s="164">
        <f>'nb formule'!P93</f>
        <v>758</v>
      </c>
      <c r="AC27" s="164">
        <f>'nb formule'!Q93</f>
        <v>116</v>
      </c>
      <c r="AD27" s="164">
        <f>'nb formule'!R93</f>
        <v>839</v>
      </c>
      <c r="AE27" s="50">
        <f>'nb formule'!S93</f>
        <v>0.90345649582836707</v>
      </c>
      <c r="AF27" s="145"/>
      <c r="AG27" s="145"/>
      <c r="AH27" s="145">
        <f>AH23+AH24+AH25</f>
        <v>896</v>
      </c>
      <c r="AI27" s="72"/>
      <c r="AJ27" s="72"/>
      <c r="AK27" s="72"/>
      <c r="AL27" s="72"/>
      <c r="AM27" s="72"/>
      <c r="AN27" s="72"/>
      <c r="AO27" s="72"/>
      <c r="AQ27" s="5"/>
      <c r="AR27" s="5"/>
      <c r="AS27" s="5"/>
      <c r="AT27" s="63"/>
      <c r="AU27" s="64"/>
      <c r="AW27" s="65"/>
    </row>
    <row r="28" spans="2:56" x14ac:dyDescent="0.25">
      <c r="B28" s="25">
        <f>BG27</f>
        <v>0</v>
      </c>
      <c r="C28" s="80">
        <f>'nb formule'!J28</f>
        <v>12</v>
      </c>
      <c r="D28" s="26">
        <f>'nb formule'!L28</f>
        <v>2</v>
      </c>
      <c r="E28" s="26">
        <f>'nb formule'!O28</f>
        <v>40.5</v>
      </c>
      <c r="F28" s="27">
        <f>'nb formule'!P28</f>
        <v>250</v>
      </c>
      <c r="G28" s="27">
        <f>'nb formule'!Q28</f>
        <v>-8</v>
      </c>
      <c r="H28" s="137">
        <f>'nb formule'!R28</f>
        <v>160</v>
      </c>
      <c r="I28" s="81">
        <f>'nb formule'!S28</f>
        <v>1.5625</v>
      </c>
      <c r="J28" s="152">
        <f>'nb formule'!X28</f>
        <v>3</v>
      </c>
      <c r="K28" s="152">
        <f>'nb formule'!Y28</f>
        <v>16</v>
      </c>
      <c r="L28" s="144"/>
      <c r="M28" s="85" t="str">
        <f>'nb formule'!I76</f>
        <v xml:space="preserve">Fonctions Logarithmes (21+ 16 - 7 ) </v>
      </c>
      <c r="N28" s="68">
        <f>'nb formule'!J75</f>
        <v>0</v>
      </c>
      <c r="O28" s="68" t="str">
        <f>IF('nb formule'!L76=0,"",'nb formule'!L76=0)</f>
        <v/>
      </c>
      <c r="P28" s="68">
        <f>IF('nb formule'!O76=0,"",'nb formule'!O76)</f>
        <v>2</v>
      </c>
      <c r="Q28" s="73">
        <f>IF('nb formule'!P76=0,"",'nb formule'!P76)</f>
        <v>16</v>
      </c>
      <c r="R28" s="73">
        <f>'nb formule'!Q76</f>
        <v>-21</v>
      </c>
      <c r="S28" s="73">
        <f>'nb formule'!R76</f>
        <v>33</v>
      </c>
      <c r="T28" s="77">
        <f>'nb formule'!S76</f>
        <v>0.48484848484848486</v>
      </c>
      <c r="U28" s="142">
        <f>'nb formule'!X76</f>
        <v>0</v>
      </c>
      <c r="V28" s="142">
        <f>'nb formule'!Y76</f>
        <v>0</v>
      </c>
      <c r="W28" s="72"/>
      <c r="X28" s="67" t="str">
        <f>'nb formule'!I94</f>
        <v>nombre de dossiers = 20 / 55 = 36,36%</v>
      </c>
      <c r="Y28" s="62">
        <f>'nb formule'!J94</f>
        <v>0.72</v>
      </c>
      <c r="Z28" s="70">
        <f>'nb formule'!L94</f>
        <v>0.1111111111111111</v>
      </c>
      <c r="AA28" s="164">
        <f>'nb formule'!O94</f>
        <v>0</v>
      </c>
      <c r="AB28" s="90">
        <f>'nb formule'!P94</f>
        <v>0.12335092348284961</v>
      </c>
      <c r="AC28" s="91">
        <f>'nb formule'!Q94</f>
        <v>0</v>
      </c>
      <c r="AD28" s="90">
        <f>'nb formule'!R94</f>
        <v>0.11144219308700834</v>
      </c>
      <c r="AE28" s="66"/>
      <c r="AF28" s="143"/>
      <c r="AG28" s="143"/>
      <c r="AH28" s="143"/>
      <c r="AI28" s="72"/>
      <c r="AJ28" s="72"/>
      <c r="AK28" s="72"/>
      <c r="AL28" s="72"/>
      <c r="AM28" s="72"/>
      <c r="AN28" s="72"/>
      <c r="AO28" s="72"/>
      <c r="AT28" s="63"/>
      <c r="AU28" s="64"/>
    </row>
    <row r="29" spans="2:56" x14ac:dyDescent="0.25">
      <c r="B29" s="82"/>
      <c r="C29" s="32"/>
      <c r="D29" s="32"/>
      <c r="E29" s="32"/>
      <c r="F29" s="32">
        <f>'nb formule'!P29</f>
        <v>253</v>
      </c>
      <c r="G29" s="32"/>
      <c r="H29" s="32">
        <f>'nb formule'!R29</f>
        <v>163</v>
      </c>
      <c r="I29" s="48"/>
      <c r="J29" s="144"/>
      <c r="K29" s="144"/>
      <c r="L29" s="144"/>
      <c r="M29" s="85" t="str">
        <f>'nb formule'!I77</f>
        <v>Fonction hyperbolqiue</v>
      </c>
      <c r="N29" s="68" t="str">
        <f>'nb formule'!J76</f>
        <v>x</v>
      </c>
      <c r="O29" s="68" t="str">
        <f>IF('nb formule'!L77=0,"",'nb formule'!L77=0)</f>
        <v/>
      </c>
      <c r="P29" s="68" t="str">
        <f>IF('nb formule'!O77=0,"",'nb formule'!O77)</f>
        <v/>
      </c>
      <c r="Q29" s="73" t="str">
        <f>IF('nb formule'!P77=0,"",'nb formule'!P77)</f>
        <v/>
      </c>
      <c r="R29" s="73">
        <f>'nb formule'!Q77</f>
        <v>0</v>
      </c>
      <c r="S29" s="73">
        <f>'nb formule'!R77</f>
        <v>0</v>
      </c>
      <c r="T29" s="77">
        <f>'nb formule'!S77</f>
        <v>0</v>
      </c>
      <c r="U29" s="142">
        <f>'nb formule'!X77</f>
        <v>0</v>
      </c>
      <c r="V29" s="142">
        <f>'nb formule'!Y77</f>
        <v>0</v>
      </c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</row>
    <row r="30" spans="2:56" ht="15" customHeight="1" x14ac:dyDescent="0.25">
      <c r="L30" s="147"/>
      <c r="M30" s="25" t="str">
        <f>'nb formule'!I78</f>
        <v>nombre de dossiers = 5 / 21 = 23,8%</v>
      </c>
      <c r="N30" s="80">
        <f>'nb formule'!J78</f>
        <v>5</v>
      </c>
      <c r="O30" s="26">
        <f>'nb formule'!L78</f>
        <v>1</v>
      </c>
      <c r="P30" s="28">
        <f>IF('nb formule'!O78=0,"",'nb formule'!O78)</f>
        <v>45</v>
      </c>
      <c r="Q30" s="137">
        <f>'nb formule'!P78</f>
        <v>288</v>
      </c>
      <c r="R30" s="137">
        <f>'nb formule'!Q78</f>
        <v>113</v>
      </c>
      <c r="S30" s="137">
        <f>'nb formule'!R78</f>
        <v>382</v>
      </c>
      <c r="T30" s="81">
        <f>'nb formule'!S78</f>
        <v>0.75392670157068065</v>
      </c>
      <c r="U30" s="137">
        <f>'nb formule'!X78</f>
        <v>54</v>
      </c>
      <c r="V30" s="156">
        <f>'nb formule'!Y78</f>
        <v>101</v>
      </c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U30" s="64"/>
    </row>
    <row r="31" spans="2:56" s="3" customFormat="1" ht="15" customHeight="1" x14ac:dyDescent="0.25">
      <c r="L31" s="147"/>
      <c r="M31" s="82"/>
      <c r="N31" s="32"/>
      <c r="O31" s="32"/>
      <c r="P31" s="32"/>
      <c r="Q31" s="32">
        <f>'nb formule'!P79</f>
        <v>342</v>
      </c>
      <c r="R31" s="32"/>
      <c r="S31" s="32">
        <f>'nb formule'!R79</f>
        <v>436</v>
      </c>
      <c r="T31" s="48"/>
      <c r="U31" s="144"/>
      <c r="V31" s="144"/>
      <c r="W31" s="41"/>
      <c r="AI31" s="41"/>
      <c r="AJ31" s="41"/>
      <c r="AK31" s="41"/>
      <c r="AL31" s="41"/>
      <c r="AM31" s="41"/>
      <c r="AN31" s="41"/>
      <c r="AO31" s="41"/>
      <c r="AU31" s="64"/>
      <c r="BD31"/>
    </row>
    <row r="32" spans="2:56" ht="15" customHeight="1" x14ac:dyDescent="0.25">
      <c r="L32" s="144"/>
      <c r="W32" s="72"/>
      <c r="AI32" s="72"/>
      <c r="AJ32" s="72"/>
      <c r="AK32" s="72"/>
      <c r="AL32" s="72"/>
      <c r="AM32" s="72"/>
      <c r="AN32" s="72"/>
      <c r="AO32" s="72"/>
      <c r="AU32" s="64"/>
    </row>
    <row r="33" spans="12:49" ht="15" customHeight="1" x14ac:dyDescent="0.25">
      <c r="L33" s="144"/>
      <c r="W33" s="72"/>
      <c r="AI33" s="72"/>
      <c r="AJ33" s="72"/>
      <c r="AK33" s="72"/>
      <c r="AL33" s="72"/>
      <c r="AM33" s="72"/>
      <c r="AN33" s="72"/>
      <c r="AO33" s="72"/>
      <c r="AU33" s="64"/>
    </row>
    <row r="34" spans="12:49" ht="15" customHeight="1" x14ac:dyDescent="0.25">
      <c r="L34" s="144"/>
      <c r="W34" s="72"/>
      <c r="AI34" s="72"/>
      <c r="AJ34" s="72"/>
      <c r="AK34" s="72"/>
      <c r="AL34" s="72"/>
      <c r="AM34" s="72"/>
      <c r="AN34" s="72"/>
      <c r="AO34" s="72"/>
      <c r="AU34" s="64"/>
    </row>
    <row r="35" spans="12:49" ht="15" customHeight="1" x14ac:dyDescent="0.25">
      <c r="L35" s="144"/>
      <c r="M35" s="144"/>
      <c r="N35" s="144"/>
      <c r="O35" s="144"/>
      <c r="P35" s="144"/>
      <c r="Q35" s="144"/>
      <c r="R35" s="144"/>
      <c r="S35" s="144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U35" s="64"/>
    </row>
    <row r="36" spans="12:49" ht="15" customHeight="1" x14ac:dyDescent="0.25">
      <c r="L36" s="144"/>
      <c r="M36" s="144"/>
      <c r="N36" s="144"/>
      <c r="O36" s="144"/>
      <c r="P36" s="144"/>
      <c r="Q36" s="144"/>
      <c r="R36" s="144"/>
      <c r="S36" s="144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U36" s="64"/>
    </row>
    <row r="37" spans="12:49" ht="15" customHeight="1" x14ac:dyDescent="0.25">
      <c r="L37" s="144"/>
      <c r="M37" s="144"/>
      <c r="N37" s="144"/>
      <c r="O37" s="144"/>
      <c r="P37" s="144"/>
      <c r="Q37" s="144"/>
      <c r="R37" s="144"/>
      <c r="S37" s="144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U37" s="64"/>
    </row>
    <row r="38" spans="12:49" ht="15" customHeight="1" x14ac:dyDescent="0.25">
      <c r="L38" s="144"/>
      <c r="M38" s="144"/>
      <c r="N38" s="144"/>
      <c r="O38" s="144"/>
      <c r="P38" s="144"/>
      <c r="Q38" s="144"/>
      <c r="R38" s="144"/>
      <c r="S38" s="144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U38" s="64"/>
    </row>
    <row r="39" spans="12:49" ht="15" customHeight="1" x14ac:dyDescent="0.25">
      <c r="L39" s="144"/>
      <c r="M39" s="144"/>
      <c r="N39" s="144"/>
      <c r="O39" s="144"/>
      <c r="P39" s="144"/>
      <c r="Q39" s="144"/>
      <c r="R39" s="144"/>
      <c r="S39" s="144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U39" s="64"/>
    </row>
    <row r="40" spans="12:49" ht="15" customHeight="1" x14ac:dyDescent="0.25">
      <c r="L40" s="149"/>
      <c r="M40" s="144"/>
      <c r="N40" s="144"/>
      <c r="O40" s="144"/>
      <c r="P40" s="144"/>
      <c r="Q40" s="144"/>
      <c r="R40" s="144"/>
      <c r="S40" s="144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U40" s="64"/>
    </row>
    <row r="41" spans="12:49" ht="15" customHeight="1" x14ac:dyDescent="0.25">
      <c r="L41" s="144"/>
      <c r="M41" s="144"/>
      <c r="N41" s="144"/>
      <c r="O41" s="144"/>
      <c r="P41" s="144"/>
      <c r="Q41" s="144"/>
      <c r="R41" s="144"/>
      <c r="S41" s="144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U41" s="64"/>
    </row>
    <row r="42" spans="12:49" ht="15" customHeight="1" x14ac:dyDescent="0.25">
      <c r="L42" s="144"/>
      <c r="M42" s="144"/>
      <c r="N42" s="144"/>
      <c r="O42" s="144"/>
      <c r="P42" s="144"/>
      <c r="Q42" s="144"/>
      <c r="R42" s="144"/>
      <c r="S42" s="144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U42" s="64"/>
    </row>
    <row r="43" spans="12:49" ht="15" customHeight="1" x14ac:dyDescent="0.25">
      <c r="L43" s="144"/>
      <c r="M43" s="144"/>
      <c r="N43" s="144"/>
      <c r="O43" s="144"/>
      <c r="P43" s="144"/>
      <c r="Q43" s="144"/>
      <c r="R43" s="144"/>
      <c r="S43" s="144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U43" s="64"/>
    </row>
    <row r="44" spans="12:49" ht="15" customHeight="1" x14ac:dyDescent="0.25">
      <c r="L44" s="144"/>
      <c r="M44" s="144"/>
      <c r="N44" s="144"/>
      <c r="O44" s="144"/>
      <c r="P44" s="144"/>
      <c r="Q44" s="144"/>
      <c r="R44" s="144"/>
      <c r="S44" s="144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U44" s="64"/>
    </row>
    <row r="45" spans="12:49" ht="15" customHeight="1" x14ac:dyDescent="0.25">
      <c r="L45" s="144"/>
      <c r="M45" s="144"/>
      <c r="N45" s="144"/>
      <c r="O45" s="144"/>
      <c r="P45" s="144"/>
      <c r="Q45" s="144"/>
      <c r="R45" s="144"/>
      <c r="S45" s="144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U45" s="64"/>
    </row>
    <row r="46" spans="12:49" ht="15" customHeight="1" x14ac:dyDescent="0.25">
      <c r="L46" s="144"/>
      <c r="M46" s="144"/>
      <c r="N46" s="144"/>
      <c r="O46" s="144"/>
      <c r="P46" s="144"/>
      <c r="Q46" s="144"/>
      <c r="R46" s="144"/>
      <c r="S46" s="144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U46" s="64"/>
    </row>
    <row r="47" spans="12:49" ht="15" customHeight="1" x14ac:dyDescent="0.25">
      <c r="L47" s="42"/>
      <c r="M47" s="144"/>
      <c r="N47" s="144"/>
      <c r="O47" s="144"/>
      <c r="P47" s="144"/>
      <c r="Q47" s="144"/>
      <c r="R47" s="144"/>
      <c r="S47" s="144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Q47" s="5"/>
      <c r="AR47" s="5"/>
      <c r="AS47" s="5"/>
      <c r="AT47" s="63"/>
      <c r="AU47" s="64"/>
      <c r="AW47" s="65"/>
    </row>
    <row r="48" spans="12:49" x14ac:dyDescent="0.25">
      <c r="L48" s="144"/>
      <c r="M48" s="144"/>
      <c r="N48" s="144"/>
      <c r="O48" s="144"/>
      <c r="P48" s="144"/>
      <c r="Q48" s="144"/>
      <c r="R48" s="144"/>
      <c r="S48" s="144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T48" s="63"/>
      <c r="AU48" s="64"/>
    </row>
    <row r="49" spans="1:61" ht="15" customHeight="1" x14ac:dyDescent="0.25">
      <c r="L49" s="144"/>
      <c r="M49" s="144"/>
      <c r="N49" s="144"/>
      <c r="O49" s="144"/>
      <c r="P49" s="144"/>
      <c r="Q49" s="144"/>
      <c r="R49" s="144"/>
      <c r="S49" s="144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</row>
    <row r="50" spans="1:61" ht="15" customHeight="1" x14ac:dyDescent="0.25">
      <c r="L50" s="147"/>
      <c r="M50" s="144"/>
      <c r="N50" s="144"/>
      <c r="O50" s="144"/>
      <c r="P50" s="144"/>
      <c r="Q50" s="144"/>
      <c r="R50" s="144"/>
      <c r="S50" s="144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U50" s="64"/>
    </row>
    <row r="51" spans="1:61" ht="15" customHeight="1" x14ac:dyDescent="0.25">
      <c r="L51" s="144"/>
      <c r="M51" s="144"/>
      <c r="N51" s="144"/>
      <c r="O51" s="144"/>
      <c r="P51" s="144"/>
      <c r="Q51" s="144"/>
      <c r="R51" s="144"/>
      <c r="S51" s="144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U51" s="64"/>
    </row>
    <row r="52" spans="1:61" ht="15" customHeight="1" x14ac:dyDescent="0.25">
      <c r="L52" s="144"/>
      <c r="M52" s="144"/>
      <c r="N52" s="144"/>
      <c r="O52" s="144"/>
      <c r="P52" s="144"/>
      <c r="Q52" s="144"/>
      <c r="R52" s="144"/>
      <c r="S52" s="144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U52" s="64"/>
    </row>
    <row r="53" spans="1:61" ht="15" customHeight="1" x14ac:dyDescent="0.25">
      <c r="L53" s="144"/>
      <c r="M53" s="144"/>
      <c r="N53" s="144"/>
      <c r="O53" s="144"/>
      <c r="P53" s="144"/>
      <c r="Q53" s="144"/>
      <c r="R53" s="144"/>
      <c r="S53" s="144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U53" s="64"/>
    </row>
    <row r="54" spans="1:61" ht="15" customHeight="1" x14ac:dyDescent="0.25">
      <c r="L54" s="144"/>
      <c r="M54" s="144"/>
      <c r="N54" s="144"/>
      <c r="O54" s="144"/>
      <c r="P54" s="144"/>
      <c r="Q54" s="144"/>
      <c r="R54" s="144"/>
      <c r="S54" s="144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U54" s="64"/>
    </row>
    <row r="55" spans="1:61" ht="15" customHeight="1" x14ac:dyDescent="0.25">
      <c r="L55" s="144"/>
      <c r="M55" s="144"/>
      <c r="N55" s="144"/>
      <c r="O55" s="144"/>
      <c r="P55" s="144"/>
      <c r="Q55" s="144"/>
      <c r="R55" s="144"/>
      <c r="S55" s="144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U55" s="64"/>
    </row>
    <row r="56" spans="1:61" ht="15" customHeight="1" x14ac:dyDescent="0.25">
      <c r="L56" s="144"/>
      <c r="M56" s="144"/>
      <c r="N56" s="144"/>
      <c r="O56" s="144"/>
      <c r="P56" s="144"/>
      <c r="Q56" s="144"/>
      <c r="R56" s="144"/>
      <c r="S56" s="144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U56" s="64"/>
    </row>
    <row r="57" spans="1:61" ht="15" customHeight="1" x14ac:dyDescent="0.25">
      <c r="L57" s="144"/>
      <c r="M57" s="144"/>
      <c r="N57" s="144"/>
      <c r="O57" s="144"/>
      <c r="P57" s="144"/>
      <c r="Q57" s="144"/>
      <c r="R57" s="144"/>
      <c r="S57" s="144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U57" s="64"/>
    </row>
    <row r="58" spans="1:61" ht="15" customHeight="1" x14ac:dyDescent="0.25">
      <c r="L58" s="144"/>
      <c r="M58" s="144"/>
      <c r="N58" s="144"/>
      <c r="O58" s="144"/>
      <c r="P58" s="144"/>
      <c r="Q58" s="144"/>
      <c r="R58" s="144"/>
      <c r="S58" s="144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U58" s="64"/>
    </row>
    <row r="59" spans="1:61" ht="15" customHeight="1" x14ac:dyDescent="0.25">
      <c r="L59" s="144"/>
      <c r="M59" s="144"/>
      <c r="N59" s="144"/>
      <c r="O59" s="144"/>
      <c r="P59" s="144"/>
      <c r="Q59" s="144"/>
      <c r="R59" s="144"/>
      <c r="S59" s="144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U59" s="64"/>
    </row>
    <row r="60" spans="1:61" ht="15" customHeight="1" x14ac:dyDescent="0.25">
      <c r="L60" s="144"/>
      <c r="M60" s="144"/>
      <c r="N60" s="144"/>
      <c r="O60" s="144"/>
      <c r="P60" s="144"/>
      <c r="Q60" s="144"/>
      <c r="R60" s="144"/>
      <c r="S60" s="144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U60" s="64"/>
    </row>
    <row r="61" spans="1:61" ht="15" customHeight="1" x14ac:dyDescent="0.25">
      <c r="L61" s="144"/>
      <c r="M61" s="144"/>
      <c r="N61" s="144"/>
      <c r="O61" s="144"/>
      <c r="P61" s="144"/>
      <c r="Q61" s="144"/>
      <c r="R61" s="144"/>
      <c r="S61" s="144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U61" s="64"/>
    </row>
    <row r="62" spans="1:61" ht="15" customHeight="1" x14ac:dyDescent="0.25">
      <c r="L62" s="144"/>
      <c r="M62" s="144"/>
      <c r="N62" s="144"/>
      <c r="O62" s="144"/>
      <c r="P62" s="144"/>
      <c r="Q62" s="144"/>
      <c r="R62" s="144"/>
      <c r="S62" s="144"/>
      <c r="T62" s="3"/>
      <c r="U62" s="41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Q62" s="5"/>
      <c r="AR62" s="5"/>
      <c r="AS62" s="5"/>
      <c r="AT62" s="63"/>
      <c r="AU62" s="64"/>
      <c r="AW62" s="65"/>
    </row>
    <row r="63" spans="1:61" ht="15" customHeight="1" x14ac:dyDescent="0.25">
      <c r="L63" s="144"/>
      <c r="M63" s="144"/>
      <c r="N63" s="144"/>
      <c r="O63" s="144"/>
      <c r="P63" s="144"/>
      <c r="Q63" s="144"/>
      <c r="R63" s="144"/>
      <c r="S63" s="144"/>
      <c r="T63" s="3"/>
      <c r="U63" s="41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Q63" s="3"/>
      <c r="AR63" s="3"/>
      <c r="AT63" s="63"/>
      <c r="AU63" s="64"/>
      <c r="BI63" s="3"/>
    </row>
    <row r="64" spans="1:61" x14ac:dyDescent="0.25">
      <c r="A64" s="88"/>
      <c r="L64" s="144"/>
      <c r="M64" s="144"/>
      <c r="N64" s="144"/>
      <c r="O64" s="144"/>
      <c r="P64" s="144"/>
      <c r="Q64" s="144"/>
      <c r="R64" s="144"/>
      <c r="S64" s="144"/>
      <c r="T64" s="3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Q64" s="5"/>
      <c r="AR64" s="5"/>
      <c r="AS64" s="5"/>
      <c r="AT64" s="63"/>
      <c r="AU64" s="64"/>
      <c r="AW64" s="65"/>
    </row>
    <row r="65" spans="2:68" x14ac:dyDescent="0.25">
      <c r="B65" s="72"/>
      <c r="C65" s="88"/>
      <c r="D65" s="72"/>
      <c r="E65" s="72"/>
      <c r="F65" s="88">
        <f>AB19+Q31+F29</f>
        <v>595</v>
      </c>
      <c r="G65" s="88"/>
      <c r="H65" s="72"/>
      <c r="I65" s="72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Q65" s="3"/>
      <c r="AR65" s="3"/>
      <c r="AS65" s="3"/>
      <c r="AT65" s="3"/>
      <c r="AU65" s="64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</row>
    <row r="66" spans="2:68" s="3" customFormat="1" x14ac:dyDescent="0.25">
      <c r="B66" s="35" t="s">
        <v>106</v>
      </c>
      <c r="C66" s="163" t="s">
        <v>150</v>
      </c>
      <c r="D66" s="36"/>
      <c r="E66" s="36"/>
      <c r="F66" s="36"/>
      <c r="G66" s="36"/>
      <c r="H66" s="397" t="s">
        <v>87</v>
      </c>
      <c r="I66" s="398"/>
      <c r="J66" s="394" t="s">
        <v>291</v>
      </c>
      <c r="K66" s="395"/>
      <c r="L66" s="138"/>
      <c r="M66" s="147"/>
      <c r="N66" s="147"/>
      <c r="O66" s="147"/>
      <c r="P66" s="147"/>
      <c r="Q66" s="147"/>
      <c r="R66" s="147"/>
      <c r="S66" s="147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U66" s="64"/>
    </row>
    <row r="67" spans="2:68" s="3" customFormat="1" x14ac:dyDescent="0.25">
      <c r="B67" s="68"/>
      <c r="C67" s="32" t="s">
        <v>148</v>
      </c>
      <c r="D67" s="32" t="s">
        <v>98</v>
      </c>
      <c r="E67" s="32" t="s">
        <v>17</v>
      </c>
      <c r="F67" s="32"/>
      <c r="G67" s="32" t="s">
        <v>97</v>
      </c>
      <c r="H67" s="32" t="s">
        <v>27</v>
      </c>
      <c r="I67" s="69" t="s">
        <v>104</v>
      </c>
      <c r="J67" s="155" t="s">
        <v>295</v>
      </c>
      <c r="K67" s="155" t="s">
        <v>296</v>
      </c>
      <c r="L67" s="141"/>
      <c r="M67" s="148"/>
      <c r="N67" s="148"/>
      <c r="O67" s="148"/>
      <c r="P67" s="148"/>
      <c r="Q67" s="148"/>
      <c r="R67" s="148"/>
      <c r="S67" s="148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Q67" s="5"/>
      <c r="AU67" s="64"/>
    </row>
    <row r="68" spans="2:68" s="3" customFormat="1" x14ac:dyDescent="0.25">
      <c r="B68" s="37" t="str">
        <f>'nb formule'!I89</f>
        <v xml:space="preserve">Algèbre ( 12 dossiers  / 23 = 52,17% ) </v>
      </c>
      <c r="C68" s="163" t="str">
        <f>'nb formule'!J89</f>
        <v>52,17%</v>
      </c>
      <c r="D68" s="38">
        <f>'nb formule'!L89</f>
        <v>1</v>
      </c>
      <c r="E68" s="38">
        <f>'nb formule'!O89</f>
        <v>40.5</v>
      </c>
      <c r="F68" s="163">
        <f>'nb formule'!P89</f>
        <v>250</v>
      </c>
      <c r="G68" s="163">
        <f>'nb formule'!Q89</f>
        <v>-8</v>
      </c>
      <c r="H68" s="163">
        <f>'nb formule'!R89</f>
        <v>160</v>
      </c>
      <c r="I68" s="39">
        <f>'nb formule'!S89</f>
        <v>1.5625</v>
      </c>
      <c r="J68" s="142"/>
      <c r="K68" s="142"/>
      <c r="L68" s="142" t="e">
        <f>#REF!</f>
        <v>#REF!</v>
      </c>
      <c r="M68" s="144"/>
      <c r="N68" s="144"/>
      <c r="O68" s="144"/>
      <c r="P68" s="144"/>
      <c r="Q68" s="144"/>
      <c r="R68" s="144"/>
      <c r="S68" s="144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U68" s="64"/>
    </row>
    <row r="69" spans="2:68" s="3" customFormat="1" x14ac:dyDescent="0.25">
      <c r="B69" s="40" t="str">
        <f>'nb formule'!I90</f>
        <v xml:space="preserve">Analyse ( 5 dossiers / 21 = 23,8% ) </v>
      </c>
      <c r="C69" s="42" t="str">
        <f>'nb formule'!J90</f>
        <v>23,8%</v>
      </c>
      <c r="D69" s="32">
        <f>'nb formule'!L90</f>
        <v>1</v>
      </c>
      <c r="E69" s="32">
        <f>'nb formule'!O90</f>
        <v>45</v>
      </c>
      <c r="F69" s="32">
        <f>'nb formule'!P90</f>
        <v>288</v>
      </c>
      <c r="G69" s="32">
        <f>'nb formule'!Q90</f>
        <v>113</v>
      </c>
      <c r="H69" s="32">
        <f>'nb formule'!R90</f>
        <v>382</v>
      </c>
      <c r="I69" s="43">
        <f>'nb formule'!S90</f>
        <v>0.75392670157068065</v>
      </c>
      <c r="J69" s="139">
        <v>14</v>
      </c>
      <c r="K69" s="139">
        <f>V30</f>
        <v>101</v>
      </c>
      <c r="L69" s="139" t="e">
        <f>#REF!</f>
        <v>#REF!</v>
      </c>
      <c r="M69" s="149"/>
      <c r="N69" s="149"/>
      <c r="O69" s="149"/>
      <c r="P69" s="149"/>
      <c r="Q69" s="149"/>
      <c r="R69" s="149"/>
      <c r="S69" s="149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R69" s="5"/>
      <c r="AS69" s="5"/>
      <c r="AU69" s="64"/>
      <c r="AW69" s="65"/>
      <c r="AX69"/>
      <c r="AY69"/>
      <c r="AZ69"/>
      <c r="BA69"/>
      <c r="BB69"/>
      <c r="BC69"/>
      <c r="BD69"/>
      <c r="BE69"/>
      <c r="BF69"/>
      <c r="BG69"/>
      <c r="BH69"/>
      <c r="BI69"/>
    </row>
    <row r="70" spans="2:68" s="3" customFormat="1" x14ac:dyDescent="0.25">
      <c r="B70" s="44" t="str">
        <f>'nb formule'!I91</f>
        <v xml:space="preserve">Géométrie ( 3 dossiers / 11 = 27,27% ) </v>
      </c>
      <c r="C70" s="46" t="str">
        <f>'nb formule'!J91</f>
        <v>27,27%</v>
      </c>
      <c r="D70" s="34">
        <f>'nb formule'!L91</f>
        <v>1</v>
      </c>
      <c r="E70" s="34">
        <f>'nb formule'!O91</f>
        <v>8</v>
      </c>
      <c r="F70" s="34">
        <f>'nb formule'!P91</f>
        <v>220</v>
      </c>
      <c r="G70" s="34">
        <f>'nb formule'!Q91</f>
        <v>11</v>
      </c>
      <c r="H70" s="34">
        <f>'nb formule'!R91</f>
        <v>297</v>
      </c>
      <c r="I70" s="47">
        <f>'nb formule'!S91</f>
        <v>0.7407407407407407</v>
      </c>
      <c r="J70" s="143"/>
      <c r="K70" s="143"/>
      <c r="L70" s="143" t="e">
        <f>#REF!</f>
        <v>#REF!</v>
      </c>
      <c r="M70" s="144"/>
      <c r="N70" s="144"/>
      <c r="O70" s="144"/>
      <c r="P70" s="144"/>
      <c r="Q70" s="144"/>
      <c r="R70" s="144"/>
      <c r="S70" s="144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U70" s="64"/>
    </row>
    <row r="71" spans="2:68" s="3" customFormat="1" ht="6" customHeight="1" x14ac:dyDescent="0.25">
      <c r="B71" s="41"/>
      <c r="C71" s="42"/>
      <c r="D71" s="41"/>
      <c r="E71" s="32"/>
      <c r="F71" s="42"/>
      <c r="G71" s="42"/>
      <c r="H71" s="42"/>
      <c r="I71" s="48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</row>
    <row r="72" spans="2:68" s="3" customFormat="1" x14ac:dyDescent="0.25">
      <c r="B72" s="49" t="s">
        <v>42</v>
      </c>
      <c r="C72" s="162"/>
      <c r="D72" s="26">
        <f t="shared" ref="D72:I72" si="0">Z18</f>
        <v>4</v>
      </c>
      <c r="E72" s="89">
        <f t="shared" si="0"/>
        <v>93.5</v>
      </c>
      <c r="F72" s="162">
        <f t="shared" si="0"/>
        <v>758</v>
      </c>
      <c r="G72" s="162">
        <f t="shared" si="0"/>
        <v>116</v>
      </c>
      <c r="H72" s="162">
        <f t="shared" si="0"/>
        <v>839</v>
      </c>
      <c r="I72" s="50">
        <f t="shared" si="0"/>
        <v>0.90345649582836707</v>
      </c>
      <c r="J72" s="145"/>
      <c r="K72" s="145"/>
      <c r="L72" s="145" t="e">
        <f>L68+L69+L70</f>
        <v>#REF!</v>
      </c>
      <c r="M72" s="144"/>
      <c r="N72" s="144"/>
      <c r="O72" s="144"/>
      <c r="P72" s="144"/>
      <c r="Q72" s="144"/>
      <c r="R72" s="144"/>
      <c r="S72" s="144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</row>
    <row r="73" spans="2:68" x14ac:dyDescent="0.25">
      <c r="B73" s="67">
        <f>BG64</f>
        <v>0</v>
      </c>
      <c r="C73" s="62" t="e">
        <f>#REF!</f>
        <v>#REF!</v>
      </c>
      <c r="D73" s="70" t="e">
        <f>D72/C73</f>
        <v>#REF!</v>
      </c>
      <c r="E73" s="162"/>
      <c r="F73" s="90">
        <f>E72/F72</f>
        <v>0.12335092348284961</v>
      </c>
      <c r="G73" s="91"/>
      <c r="H73" s="90">
        <f>E72/H72</f>
        <v>0.11144219308700834</v>
      </c>
      <c r="I73" s="66"/>
      <c r="J73" s="143"/>
      <c r="K73" s="143"/>
      <c r="L73" s="143"/>
      <c r="M73" s="144"/>
      <c r="N73" s="144"/>
      <c r="O73" s="144"/>
      <c r="P73" s="144"/>
      <c r="Q73" s="144"/>
      <c r="R73" s="144"/>
      <c r="S73" s="144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</row>
    <row r="74" spans="2:68" x14ac:dyDescent="0.25">
      <c r="AQ74" s="3"/>
    </row>
    <row r="75" spans="2:68" x14ac:dyDescent="0.25">
      <c r="B75" t="e">
        <f>'nb formule'!#REF!</f>
        <v>#REF!</v>
      </c>
      <c r="C75" s="400" t="e">
        <f>'nb formule'!#REF!</f>
        <v>#REF!</v>
      </c>
      <c r="D75" s="400"/>
      <c r="E75" s="400"/>
      <c r="G75" s="400" t="e">
        <f>'nb formule'!#REF!</f>
        <v>#REF!</v>
      </c>
      <c r="H75" s="400"/>
      <c r="I75" s="400"/>
    </row>
    <row r="76" spans="2:68" x14ac:dyDescent="0.25">
      <c r="B76">
        <f>'nb formule'!I97</f>
        <v>0</v>
      </c>
      <c r="C76" s="160" t="str">
        <f>'nb formule'!N97</f>
        <v>Min</v>
      </c>
      <c r="D76" s="160" t="str">
        <f>'nb formule'!O97</f>
        <v>Moy</v>
      </c>
      <c r="E76" s="160" t="str">
        <f>'nb formule'!P97</f>
        <v>Max</v>
      </c>
      <c r="G76" s="160" t="str">
        <f>'nb formule'!Q97</f>
        <v>Min</v>
      </c>
      <c r="H76" s="160" t="str">
        <f>'nb formule'!R97</f>
        <v>Moy</v>
      </c>
      <c r="I76" s="160" t="str">
        <f>'nb formule'!S97</f>
        <v>Max</v>
      </c>
    </row>
    <row r="77" spans="2:68" x14ac:dyDescent="0.25">
      <c r="B77" t="str">
        <f>'nb formule'!I99</f>
        <v>Algèbre</v>
      </c>
      <c r="C77" s="160">
        <f>'nb formule'!N99</f>
        <v>1</v>
      </c>
      <c r="D77" s="160">
        <f>'nb formule'!O99</f>
        <v>14.055555555555555</v>
      </c>
      <c r="E77" s="160">
        <f>'nb formule'!P99</f>
        <v>44</v>
      </c>
      <c r="G77" s="160">
        <f>'nb formule'!Q99</f>
        <v>1</v>
      </c>
      <c r="H77" s="160">
        <f>'nb formule'!R99</f>
        <v>10.1875</v>
      </c>
      <c r="I77" s="160">
        <f>'nb formule'!S99</f>
        <v>40</v>
      </c>
    </row>
    <row r="78" spans="2:68" x14ac:dyDescent="0.25">
      <c r="B78" t="str">
        <f>'nb formule'!I100</f>
        <v>Analyse</v>
      </c>
      <c r="C78" s="160">
        <f>'nb formule'!N100</f>
        <v>1</v>
      </c>
      <c r="D78" s="160">
        <f>'nb formule'!O100</f>
        <v>24.428571428571427</v>
      </c>
      <c r="E78" s="160">
        <f>'nb formule'!P100</f>
        <v>104</v>
      </c>
      <c r="G78" s="160">
        <f>'nb formule'!Q100</f>
        <v>4</v>
      </c>
      <c r="H78" s="160">
        <f>'nb formule'!R100</f>
        <v>24.222222222222221</v>
      </c>
      <c r="I78" s="160">
        <f>'nb formule'!S100</f>
        <v>53</v>
      </c>
    </row>
    <row r="79" spans="2:68" x14ac:dyDescent="0.25">
      <c r="B79" t="str">
        <f>'nb formule'!I101</f>
        <v>Géométrie</v>
      </c>
      <c r="C79" s="160">
        <f>'nb formule'!N101</f>
        <v>1</v>
      </c>
      <c r="D79" s="160">
        <f>'nb formule'!O101</f>
        <v>24.444444444444443</v>
      </c>
      <c r="E79" s="160">
        <f>'nb formule'!P101</f>
        <v>106</v>
      </c>
      <c r="G79" s="160">
        <f>'nb formule'!Q101</f>
        <v>7</v>
      </c>
      <c r="H79" s="160">
        <f>'nb formule'!R101</f>
        <v>29.7</v>
      </c>
      <c r="I79" s="160">
        <f>'nb formule'!S101</f>
        <v>57</v>
      </c>
    </row>
    <row r="84" spans="2:36" x14ac:dyDescent="0.25">
      <c r="B84" t="s">
        <v>290</v>
      </c>
      <c r="H84">
        <f>742+35</f>
        <v>777</v>
      </c>
      <c r="I84">
        <f>789+35</f>
        <v>824</v>
      </c>
    </row>
    <row r="85" spans="2:36" x14ac:dyDescent="0.25">
      <c r="B85" t="s">
        <v>292</v>
      </c>
      <c r="G85" s="160">
        <v>-35</v>
      </c>
      <c r="H85">
        <f>H84-35</f>
        <v>742</v>
      </c>
      <c r="I85">
        <f>I84-35</f>
        <v>789</v>
      </c>
    </row>
    <row r="86" spans="2:36" x14ac:dyDescent="0.25">
      <c r="H86">
        <f>I85-H85</f>
        <v>47</v>
      </c>
    </row>
    <row r="88" spans="2:36" x14ac:dyDescent="0.25">
      <c r="E88">
        <f>E72</f>
        <v>93.5</v>
      </c>
      <c r="F88" s="160">
        <v>8</v>
      </c>
      <c r="G88" s="160">
        <f>E88*F88</f>
        <v>748</v>
      </c>
    </row>
    <row r="89" spans="2:36" x14ac:dyDescent="0.25">
      <c r="E89">
        <f>F72</f>
        <v>758</v>
      </c>
      <c r="G89" s="160">
        <f>E89</f>
        <v>758</v>
      </c>
    </row>
    <row r="90" spans="2:36" x14ac:dyDescent="0.25">
      <c r="G90" s="160">
        <f>G88+G89</f>
        <v>1506</v>
      </c>
      <c r="Y90" s="160"/>
      <c r="AB90" s="160"/>
      <c r="AC90" s="160"/>
      <c r="AD90" s="160"/>
      <c r="AE90" s="32"/>
      <c r="AF90" s="134"/>
      <c r="AG90" s="134"/>
      <c r="AH90" s="134"/>
      <c r="AI90" s="134"/>
      <c r="AJ90" s="134"/>
    </row>
    <row r="91" spans="2:36" x14ac:dyDescent="0.25">
      <c r="F91" s="160">
        <f>F72*8</f>
        <v>6064</v>
      </c>
      <c r="Y91" s="160"/>
      <c r="AB91" s="160"/>
      <c r="AC91" s="160"/>
      <c r="AF91" s="134"/>
      <c r="AG91" s="134"/>
      <c r="AH91" s="134"/>
      <c r="AI91" s="134"/>
      <c r="AJ91" s="134"/>
    </row>
    <row r="92" spans="2:36" x14ac:dyDescent="0.25">
      <c r="Y92" s="160"/>
      <c r="AB92" s="160"/>
      <c r="AC92" s="160"/>
      <c r="AF92" s="134"/>
      <c r="AG92" s="134"/>
      <c r="AH92" s="134"/>
      <c r="AI92" s="134"/>
      <c r="AJ92" s="134"/>
    </row>
    <row r="93" spans="2:36" x14ac:dyDescent="0.25">
      <c r="Y93" s="160"/>
      <c r="AB93" s="160"/>
      <c r="AC93" s="160"/>
      <c r="AF93" s="134"/>
      <c r="AG93" s="134"/>
      <c r="AH93" s="134"/>
      <c r="AI93" s="134"/>
      <c r="AJ93" s="134"/>
    </row>
    <row r="94" spans="2:36" x14ac:dyDescent="0.25">
      <c r="Y94" s="160"/>
      <c r="AB94" s="160"/>
      <c r="AC94" s="160"/>
      <c r="AF94" s="134"/>
      <c r="AG94" s="134"/>
      <c r="AH94" s="134"/>
      <c r="AI94" s="134"/>
      <c r="AJ94" s="134"/>
    </row>
    <row r="95" spans="2:36" x14ac:dyDescent="0.25">
      <c r="X95" s="157"/>
      <c r="Y95" s="160"/>
      <c r="AB95" s="160"/>
      <c r="AC95" s="160"/>
      <c r="AF95" s="134"/>
      <c r="AG95" s="134"/>
      <c r="AH95" s="134"/>
      <c r="AI95" s="134"/>
      <c r="AJ95" s="134"/>
    </row>
    <row r="96" spans="2:36" x14ac:dyDescent="0.25">
      <c r="X96" s="157"/>
      <c r="Y96" s="160"/>
      <c r="AB96" s="160"/>
      <c r="AC96" s="160"/>
      <c r="AF96" s="134"/>
      <c r="AG96" s="134"/>
      <c r="AH96" s="134"/>
      <c r="AI96" s="134"/>
      <c r="AJ96" s="134"/>
    </row>
    <row r="97" spans="24:36" x14ac:dyDescent="0.25">
      <c r="X97" s="157"/>
      <c r="Y97" s="160"/>
      <c r="AB97" s="160"/>
      <c r="AC97" s="160"/>
      <c r="AF97" s="134"/>
      <c r="AG97" s="134"/>
      <c r="AH97" s="134"/>
      <c r="AI97" s="134"/>
      <c r="AJ97" s="134"/>
    </row>
    <row r="98" spans="24:36" x14ac:dyDescent="0.25">
      <c r="X98" s="157"/>
      <c r="Y98" s="160"/>
      <c r="AB98" s="160"/>
      <c r="AC98" s="160"/>
      <c r="AF98" s="134"/>
      <c r="AG98" s="134"/>
      <c r="AH98" s="134"/>
      <c r="AI98" s="134"/>
      <c r="AJ98" s="134"/>
    </row>
    <row r="99" spans="24:36" x14ac:dyDescent="0.25">
      <c r="Y99" s="160"/>
      <c r="AB99" s="160"/>
      <c r="AC99" s="160"/>
      <c r="AF99" s="134"/>
      <c r="AG99" s="134"/>
      <c r="AH99" s="134"/>
      <c r="AI99" s="134"/>
      <c r="AJ99" s="134"/>
    </row>
    <row r="100" spans="24:36" x14ac:dyDescent="0.25">
      <c r="Y100" s="160"/>
      <c r="AB100" s="160"/>
      <c r="AC100" s="160"/>
      <c r="AF100" s="134"/>
      <c r="AG100" s="134"/>
      <c r="AH100" s="134"/>
      <c r="AI100" s="134"/>
      <c r="AJ100" s="134"/>
    </row>
  </sheetData>
  <mergeCells count="12">
    <mergeCell ref="C75:E75"/>
    <mergeCell ref="G75:I75"/>
    <mergeCell ref="H2:I2"/>
    <mergeCell ref="J2:K2"/>
    <mergeCell ref="S2:T2"/>
    <mergeCell ref="U2:V2"/>
    <mergeCell ref="AD2:AE2"/>
    <mergeCell ref="AF2:AG2"/>
    <mergeCell ref="H66:I66"/>
    <mergeCell ref="J66:K66"/>
    <mergeCell ref="AD21:AE21"/>
    <mergeCell ref="AF21:AG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4"/>
  <sheetViews>
    <sheetView showGridLines="0" workbookViewId="0">
      <selection activeCell="C8" sqref="C8"/>
    </sheetView>
  </sheetViews>
  <sheetFormatPr baseColWidth="10" defaultRowHeight="15" x14ac:dyDescent="0.25"/>
  <cols>
    <col min="2" max="2" width="26.5703125" bestFit="1" customWidth="1"/>
    <col min="3" max="3" width="13" style="318" bestFit="1" customWidth="1"/>
    <col min="4" max="5" width="10.7109375" style="318" customWidth="1"/>
    <col min="6" max="6" width="2.7109375" style="318" customWidth="1"/>
    <col min="7" max="7" width="14" style="318" customWidth="1"/>
    <col min="8" max="9" width="14.85546875" style="318" bestFit="1" customWidth="1"/>
    <col min="10" max="11" width="10.7109375" style="318" customWidth="1"/>
  </cols>
  <sheetData>
    <row r="2" spans="2:11" x14ac:dyDescent="0.25">
      <c r="B2" s="401"/>
      <c r="C2" s="330" t="s">
        <v>87</v>
      </c>
      <c r="D2" s="325" t="s">
        <v>452</v>
      </c>
      <c r="E2" s="177" t="s">
        <v>42</v>
      </c>
      <c r="F2" s="342"/>
      <c r="G2" s="183" t="s">
        <v>444</v>
      </c>
      <c r="H2" s="223" t="str">
        <f>I2</f>
        <v>nb pages</v>
      </c>
      <c r="I2" s="339" t="s">
        <v>423</v>
      </c>
      <c r="J2" s="321" t="s">
        <v>441</v>
      </c>
      <c r="K2" s="183" t="s">
        <v>458</v>
      </c>
    </row>
    <row r="3" spans="2:11" x14ac:dyDescent="0.25">
      <c r="B3" s="402"/>
      <c r="C3" s="331"/>
      <c r="D3" s="326"/>
      <c r="E3" s="93"/>
      <c r="F3" s="342"/>
      <c r="G3" s="181" t="s">
        <v>457</v>
      </c>
      <c r="H3" s="92" t="s">
        <v>440</v>
      </c>
      <c r="I3" s="340" t="s">
        <v>439</v>
      </c>
      <c r="J3" s="322" t="s">
        <v>449</v>
      </c>
      <c r="K3" s="181" t="s">
        <v>460</v>
      </c>
    </row>
    <row r="4" spans="2:11" x14ac:dyDescent="0.25">
      <c r="B4" s="403"/>
      <c r="C4" s="332" t="s">
        <v>454</v>
      </c>
      <c r="D4" s="327" t="s">
        <v>453</v>
      </c>
      <c r="E4" s="178"/>
      <c r="F4" s="342"/>
      <c r="G4" s="182" t="s">
        <v>451</v>
      </c>
      <c r="H4" s="92"/>
      <c r="I4" s="341" t="s">
        <v>459</v>
      </c>
      <c r="J4" s="323" t="s">
        <v>450</v>
      </c>
      <c r="K4" s="182" t="s">
        <v>461</v>
      </c>
    </row>
    <row r="5" spans="2:11" x14ac:dyDescent="0.25">
      <c r="B5" s="324" t="s">
        <v>442</v>
      </c>
      <c r="C5" s="333"/>
      <c r="D5" s="328"/>
      <c r="E5" s="316">
        <f>SUM(E8:E38)</f>
        <v>1508</v>
      </c>
      <c r="F5" s="342"/>
      <c r="G5" s="257"/>
      <c r="H5" s="315"/>
      <c r="I5" s="339" t="s">
        <v>463</v>
      </c>
      <c r="J5" s="320"/>
      <c r="K5" s="257" t="s">
        <v>462</v>
      </c>
    </row>
    <row r="6" spans="2:11" x14ac:dyDescent="0.25">
      <c r="B6" s="307"/>
      <c r="C6" s="331"/>
      <c r="D6" s="326"/>
      <c r="E6" s="93"/>
      <c r="F6" s="342"/>
      <c r="G6" s="181"/>
      <c r="H6" s="92"/>
      <c r="I6" s="339" t="s">
        <v>455</v>
      </c>
      <c r="J6" s="319"/>
      <c r="K6" s="181"/>
    </row>
    <row r="7" spans="2:11" x14ac:dyDescent="0.25">
      <c r="B7" s="307"/>
      <c r="C7" s="331"/>
      <c r="D7" s="326"/>
      <c r="E7" s="93"/>
      <c r="F7" s="342"/>
      <c r="G7" s="181"/>
      <c r="H7" s="92"/>
      <c r="I7" s="346" t="s">
        <v>456</v>
      </c>
      <c r="J7" s="319"/>
      <c r="K7" s="181"/>
    </row>
    <row r="8" spans="2:11" x14ac:dyDescent="0.25">
      <c r="B8" s="324" t="s">
        <v>423</v>
      </c>
      <c r="C8" s="333">
        <f>SUM(C12:C44)</f>
        <v>121</v>
      </c>
      <c r="D8" s="328">
        <f>SUM(D12:D44)</f>
        <v>220</v>
      </c>
      <c r="E8" s="316">
        <f>H8</f>
        <v>754</v>
      </c>
      <c r="F8" s="342"/>
      <c r="G8" s="257">
        <f>SUM(G12:G25)</f>
        <v>143</v>
      </c>
      <c r="H8" s="315">
        <f>H42</f>
        <v>754</v>
      </c>
      <c r="I8" s="346">
        <f>+I42</f>
        <v>1114</v>
      </c>
      <c r="J8" s="320">
        <f>SUM(J12:J42)</f>
        <v>42</v>
      </c>
      <c r="K8" s="257">
        <f>SUM(K12:K46)-J8</f>
        <v>1497</v>
      </c>
    </row>
    <row r="9" spans="2:11" x14ac:dyDescent="0.25">
      <c r="B9" s="343"/>
      <c r="C9" s="329"/>
      <c r="D9" s="329"/>
      <c r="E9" s="344"/>
      <c r="F9" s="342"/>
      <c r="G9" s="329"/>
      <c r="H9" s="345"/>
      <c r="I9" s="329"/>
      <c r="J9" s="345"/>
      <c r="K9" s="329"/>
    </row>
    <row r="10" spans="2:11" x14ac:dyDescent="0.25">
      <c r="B10" s="335" t="s">
        <v>0</v>
      </c>
      <c r="C10" s="338"/>
      <c r="D10" s="338"/>
      <c r="E10" s="337">
        <f>H10</f>
        <v>438</v>
      </c>
      <c r="F10" s="342"/>
      <c r="G10" s="338"/>
      <c r="H10" s="338">
        <f>SUM(H12:H25)</f>
        <v>438</v>
      </c>
      <c r="I10" s="338">
        <f>SUM(I12:I25)</f>
        <v>727</v>
      </c>
      <c r="J10" s="336"/>
      <c r="K10" s="338"/>
    </row>
    <row r="11" spans="2:11" x14ac:dyDescent="0.25">
      <c r="B11" s="307"/>
      <c r="C11" s="331"/>
      <c r="D11" s="326"/>
      <c r="E11" s="93"/>
      <c r="F11" s="342"/>
      <c r="G11" s="181"/>
      <c r="H11" s="92"/>
      <c r="I11" s="340"/>
      <c r="J11" s="322"/>
      <c r="K11" s="181"/>
    </row>
    <row r="12" spans="2:11" x14ac:dyDescent="0.25">
      <c r="B12" s="307" t="s">
        <v>424</v>
      </c>
      <c r="C12" s="331"/>
      <c r="D12" s="326"/>
      <c r="E12" s="93"/>
      <c r="F12" s="342"/>
      <c r="G12" s="181"/>
      <c r="H12" s="92">
        <f t="shared" ref="H12:H17" si="0">I12</f>
        <v>25</v>
      </c>
      <c r="I12" s="340">
        <v>25</v>
      </c>
      <c r="J12" s="322"/>
      <c r="K12" s="181">
        <f t="shared" ref="K12:K25" si="1">IF(I12&gt;H12,I12,H12)</f>
        <v>25</v>
      </c>
    </row>
    <row r="13" spans="2:11" x14ac:dyDescent="0.25">
      <c r="B13" s="307" t="s">
        <v>425</v>
      </c>
      <c r="C13" s="331"/>
      <c r="D13" s="326"/>
      <c r="E13" s="93"/>
      <c r="F13" s="342"/>
      <c r="G13" s="181"/>
      <c r="H13" s="92">
        <f t="shared" si="0"/>
        <v>146</v>
      </c>
      <c r="I13" s="340">
        <v>146</v>
      </c>
      <c r="J13" s="322"/>
      <c r="K13" s="181">
        <f t="shared" si="1"/>
        <v>146</v>
      </c>
    </row>
    <row r="14" spans="2:11" x14ac:dyDescent="0.25">
      <c r="B14" s="307" t="s">
        <v>426</v>
      </c>
      <c r="C14" s="331"/>
      <c r="D14" s="326"/>
      <c r="E14" s="93"/>
      <c r="F14" s="342"/>
      <c r="G14" s="181"/>
      <c r="H14" s="92">
        <f t="shared" si="0"/>
        <v>22</v>
      </c>
      <c r="I14" s="340">
        <v>22</v>
      </c>
      <c r="J14" s="322"/>
      <c r="K14" s="181">
        <f t="shared" si="1"/>
        <v>22</v>
      </c>
    </row>
    <row r="15" spans="2:11" x14ac:dyDescent="0.25">
      <c r="B15" s="307" t="s">
        <v>427</v>
      </c>
      <c r="C15" s="331"/>
      <c r="D15" s="326"/>
      <c r="E15" s="93"/>
      <c r="F15" s="342"/>
      <c r="G15" s="181"/>
      <c r="H15" s="92">
        <f t="shared" si="0"/>
        <v>102</v>
      </c>
      <c r="I15" s="340">
        <v>102</v>
      </c>
      <c r="J15" s="322">
        <v>8</v>
      </c>
      <c r="K15" s="181">
        <f t="shared" si="1"/>
        <v>102</v>
      </c>
    </row>
    <row r="16" spans="2:11" x14ac:dyDescent="0.25">
      <c r="B16" s="307" t="s">
        <v>2</v>
      </c>
      <c r="C16" s="331"/>
      <c r="D16" s="326"/>
      <c r="E16" s="93"/>
      <c r="F16" s="342"/>
      <c r="G16" s="181">
        <v>51</v>
      </c>
      <c r="H16" s="92">
        <f t="shared" si="0"/>
        <v>51</v>
      </c>
      <c r="I16" s="340">
        <v>51</v>
      </c>
      <c r="J16" s="322">
        <v>5</v>
      </c>
      <c r="K16" s="181">
        <f t="shared" si="1"/>
        <v>51</v>
      </c>
    </row>
    <row r="17" spans="2:11" x14ac:dyDescent="0.25">
      <c r="B17" s="307" t="s">
        <v>434</v>
      </c>
      <c r="C17" s="331"/>
      <c r="D17" s="326"/>
      <c r="E17" s="93"/>
      <c r="F17" s="342"/>
      <c r="G17" s="181">
        <v>66</v>
      </c>
      <c r="H17" s="92">
        <f t="shared" si="0"/>
        <v>66</v>
      </c>
      <c r="I17" s="340">
        <v>66</v>
      </c>
      <c r="J17" s="322"/>
      <c r="K17" s="181">
        <f t="shared" si="1"/>
        <v>66</v>
      </c>
    </row>
    <row r="18" spans="2:11" x14ac:dyDescent="0.25">
      <c r="B18" s="307" t="s">
        <v>422</v>
      </c>
      <c r="C18" s="331"/>
      <c r="D18" s="326"/>
      <c r="E18" s="93"/>
      <c r="F18" s="342"/>
      <c r="G18" s="181"/>
      <c r="H18" s="92"/>
      <c r="I18" s="340">
        <v>105</v>
      </c>
      <c r="J18" s="322">
        <v>9</v>
      </c>
      <c r="K18" s="181">
        <f t="shared" si="1"/>
        <v>105</v>
      </c>
    </row>
    <row r="19" spans="2:11" x14ac:dyDescent="0.25">
      <c r="B19" s="307" t="s">
        <v>428</v>
      </c>
      <c r="C19" s="331"/>
      <c r="D19" s="326"/>
      <c r="E19" s="93"/>
      <c r="F19" s="342"/>
      <c r="G19" s="181"/>
      <c r="H19" s="92"/>
      <c r="I19" s="340">
        <v>30</v>
      </c>
      <c r="J19" s="322"/>
      <c r="K19" s="181">
        <f t="shared" si="1"/>
        <v>30</v>
      </c>
    </row>
    <row r="20" spans="2:11" x14ac:dyDescent="0.25">
      <c r="B20" s="307" t="s">
        <v>429</v>
      </c>
      <c r="C20" s="331"/>
      <c r="D20" s="326"/>
      <c r="E20" s="93"/>
      <c r="F20" s="342"/>
      <c r="G20" s="181"/>
      <c r="H20" s="92"/>
      <c r="I20" s="340">
        <v>98</v>
      </c>
      <c r="J20" s="322">
        <v>7</v>
      </c>
      <c r="K20" s="181">
        <f t="shared" si="1"/>
        <v>98</v>
      </c>
    </row>
    <row r="21" spans="2:11" x14ac:dyDescent="0.25">
      <c r="B21" s="307" t="s">
        <v>435</v>
      </c>
      <c r="C21" s="331"/>
      <c r="D21" s="326"/>
      <c r="E21" s="93"/>
      <c r="F21" s="342"/>
      <c r="G21" s="181">
        <v>18</v>
      </c>
      <c r="H21" s="92">
        <v>18</v>
      </c>
      <c r="I21" s="340"/>
      <c r="J21" s="322"/>
      <c r="K21" s="181">
        <f t="shared" si="1"/>
        <v>18</v>
      </c>
    </row>
    <row r="22" spans="2:11" x14ac:dyDescent="0.25">
      <c r="B22" s="307" t="s">
        <v>430</v>
      </c>
      <c r="C22" s="331"/>
      <c r="D22" s="326"/>
      <c r="E22" s="93"/>
      <c r="F22" s="342"/>
      <c r="G22" s="181"/>
      <c r="H22" s="92"/>
      <c r="I22" s="340">
        <v>32</v>
      </c>
      <c r="J22" s="322"/>
      <c r="K22" s="181">
        <f t="shared" si="1"/>
        <v>32</v>
      </c>
    </row>
    <row r="23" spans="2:11" x14ac:dyDescent="0.25">
      <c r="B23" s="307" t="s">
        <v>354</v>
      </c>
      <c r="C23" s="331"/>
      <c r="D23" s="326"/>
      <c r="E23" s="93"/>
      <c r="F23" s="342"/>
      <c r="G23" s="181"/>
      <c r="H23" s="92"/>
      <c r="I23" s="340">
        <v>20</v>
      </c>
      <c r="J23" s="322"/>
      <c r="K23" s="181">
        <f t="shared" si="1"/>
        <v>20</v>
      </c>
    </row>
    <row r="24" spans="2:11" x14ac:dyDescent="0.25">
      <c r="B24" s="307" t="s">
        <v>105</v>
      </c>
      <c r="C24" s="331"/>
      <c r="D24" s="326"/>
      <c r="E24" s="93"/>
      <c r="F24" s="342"/>
      <c r="G24" s="181">
        <v>8</v>
      </c>
      <c r="H24" s="92">
        <v>8</v>
      </c>
      <c r="I24" s="340"/>
      <c r="J24" s="322"/>
      <c r="K24" s="181">
        <f t="shared" si="1"/>
        <v>8</v>
      </c>
    </row>
    <row r="25" spans="2:11" x14ac:dyDescent="0.25">
      <c r="B25" s="307" t="s">
        <v>431</v>
      </c>
      <c r="C25" s="331"/>
      <c r="D25" s="326"/>
      <c r="E25" s="93"/>
      <c r="F25" s="342"/>
      <c r="G25" s="181"/>
      <c r="H25" s="92"/>
      <c r="I25" s="340">
        <v>30</v>
      </c>
      <c r="J25" s="322"/>
      <c r="K25" s="181">
        <f t="shared" si="1"/>
        <v>30</v>
      </c>
    </row>
    <row r="26" spans="2:11" x14ac:dyDescent="0.25">
      <c r="B26" s="307"/>
      <c r="C26" s="331"/>
      <c r="D26" s="326"/>
      <c r="E26" s="93"/>
      <c r="F26" s="342"/>
      <c r="G26" s="181"/>
      <c r="H26" s="92"/>
      <c r="I26" s="340"/>
      <c r="J26" s="322"/>
      <c r="K26" s="181"/>
    </row>
    <row r="27" spans="2:11" x14ac:dyDescent="0.25">
      <c r="B27" s="307" t="s">
        <v>445</v>
      </c>
      <c r="C27" s="331"/>
      <c r="D27" s="326">
        <v>113</v>
      </c>
      <c r="E27" s="93"/>
      <c r="F27" s="342"/>
      <c r="G27" s="181"/>
      <c r="H27" s="92"/>
      <c r="I27" s="340"/>
      <c r="J27" s="322"/>
      <c r="K27" s="181">
        <f>D27</f>
        <v>113</v>
      </c>
    </row>
    <row r="28" spans="2:11" x14ac:dyDescent="0.25">
      <c r="B28" s="335" t="s">
        <v>3</v>
      </c>
      <c r="C28" s="338"/>
      <c r="D28" s="338"/>
      <c r="E28" s="337">
        <f>H28</f>
        <v>146</v>
      </c>
      <c r="F28" s="342"/>
      <c r="G28" s="338"/>
      <c r="H28" s="336">
        <f>SUM(H30:H33)</f>
        <v>146</v>
      </c>
      <c r="I28" s="338">
        <f>SUM(I30:I34)</f>
        <v>265</v>
      </c>
      <c r="J28" s="336"/>
      <c r="K28" s="338"/>
    </row>
    <row r="29" spans="2:11" x14ac:dyDescent="0.25">
      <c r="B29" s="307"/>
      <c r="C29" s="331"/>
      <c r="D29" s="326"/>
      <c r="E29" s="93"/>
      <c r="F29" s="342"/>
      <c r="G29" s="181"/>
      <c r="H29" s="92"/>
      <c r="I29" s="340"/>
      <c r="J29" s="322"/>
      <c r="K29" s="181"/>
    </row>
    <row r="30" spans="2:11" x14ac:dyDescent="0.25">
      <c r="B30" s="307" t="s">
        <v>432</v>
      </c>
      <c r="C30" s="331"/>
      <c r="D30" s="326"/>
      <c r="E30" s="93"/>
      <c r="F30" s="342"/>
      <c r="G30" s="181">
        <v>52</v>
      </c>
      <c r="H30" s="92">
        <v>52</v>
      </c>
      <c r="I30" s="340">
        <v>143</v>
      </c>
      <c r="J30" s="322"/>
      <c r="K30" s="181">
        <f>IF(I30&gt;H30,I30,H30)</f>
        <v>143</v>
      </c>
    </row>
    <row r="31" spans="2:11" x14ac:dyDescent="0.25">
      <c r="B31" s="307" t="s">
        <v>433</v>
      </c>
      <c r="C31" s="331"/>
      <c r="D31" s="326"/>
      <c r="E31" s="93"/>
      <c r="F31" s="342"/>
      <c r="G31" s="181">
        <v>104</v>
      </c>
      <c r="H31" s="92">
        <v>94</v>
      </c>
      <c r="I31" s="340"/>
      <c r="J31" s="322"/>
      <c r="K31" s="181">
        <f>IF(I31&gt;H31,I31,H31)</f>
        <v>94</v>
      </c>
    </row>
    <row r="32" spans="2:11" x14ac:dyDescent="0.25">
      <c r="B32" s="307"/>
      <c r="C32" s="331"/>
      <c r="D32" s="326"/>
      <c r="E32" s="93"/>
      <c r="F32" s="342"/>
      <c r="G32" s="181"/>
      <c r="H32" s="92"/>
      <c r="I32" s="340"/>
      <c r="J32" s="322"/>
      <c r="K32" s="181"/>
    </row>
    <row r="33" spans="2:11" x14ac:dyDescent="0.25">
      <c r="B33" s="307" t="s">
        <v>446</v>
      </c>
      <c r="C33" s="331"/>
      <c r="D33" s="326">
        <v>23</v>
      </c>
      <c r="E33" s="93"/>
      <c r="F33" s="342"/>
      <c r="G33" s="181"/>
      <c r="H33" s="92"/>
      <c r="I33" s="340"/>
      <c r="J33" s="322"/>
      <c r="K33" s="181">
        <f>D33</f>
        <v>23</v>
      </c>
    </row>
    <row r="34" spans="2:11" x14ac:dyDescent="0.25">
      <c r="B34" s="335" t="s">
        <v>443</v>
      </c>
      <c r="C34" s="338"/>
      <c r="D34" s="338"/>
      <c r="E34" s="337">
        <f>H34</f>
        <v>170</v>
      </c>
      <c r="F34" s="342"/>
      <c r="G34" s="338"/>
      <c r="H34" s="336">
        <f>SUM(H36:H40)</f>
        <v>170</v>
      </c>
      <c r="I34" s="338">
        <f>SUM(I36:I40)</f>
        <v>122</v>
      </c>
      <c r="J34" s="336"/>
      <c r="K34" s="338"/>
    </row>
    <row r="35" spans="2:11" x14ac:dyDescent="0.25">
      <c r="B35" s="187"/>
      <c r="C35" s="331"/>
      <c r="D35" s="326"/>
      <c r="E35" s="93"/>
      <c r="F35" s="342"/>
      <c r="G35" s="181"/>
      <c r="H35" s="223"/>
      <c r="I35" s="339"/>
      <c r="J35" s="322"/>
      <c r="K35" s="183"/>
    </row>
    <row r="36" spans="2:11" x14ac:dyDescent="0.25">
      <c r="B36" s="187" t="s">
        <v>437</v>
      </c>
      <c r="C36" s="331"/>
      <c r="D36" s="326"/>
      <c r="E36" s="93"/>
      <c r="F36" s="342"/>
      <c r="G36" s="181">
        <v>56</v>
      </c>
      <c r="H36" s="92">
        <v>56</v>
      </c>
      <c r="I36" s="340"/>
      <c r="J36" s="322"/>
      <c r="K36" s="181">
        <f>IF(I36&gt;H36,I36,H36)</f>
        <v>56</v>
      </c>
    </row>
    <row r="37" spans="2:11" x14ac:dyDescent="0.25">
      <c r="B37" s="187" t="s">
        <v>436</v>
      </c>
      <c r="C37" s="331"/>
      <c r="D37" s="326"/>
      <c r="E37" s="93"/>
      <c r="F37" s="342"/>
      <c r="G37" s="181">
        <v>84</v>
      </c>
      <c r="H37" s="92">
        <v>84</v>
      </c>
      <c r="I37" s="340">
        <v>122</v>
      </c>
      <c r="J37" s="322">
        <v>13</v>
      </c>
      <c r="K37" s="181">
        <f>IF(I37&gt;H37,I37,H37)</f>
        <v>122</v>
      </c>
    </row>
    <row r="38" spans="2:11" x14ac:dyDescent="0.25">
      <c r="B38" s="187" t="s">
        <v>438</v>
      </c>
      <c r="C38" s="331"/>
      <c r="D38" s="326"/>
      <c r="E38" s="93"/>
      <c r="F38" s="342"/>
      <c r="G38" s="181">
        <v>30</v>
      </c>
      <c r="H38" s="92">
        <v>30</v>
      </c>
      <c r="I38" s="340"/>
      <c r="J38" s="322"/>
      <c r="K38" s="181">
        <f>IF(I38&gt;H38,I38,H38)</f>
        <v>30</v>
      </c>
    </row>
    <row r="39" spans="2:11" x14ac:dyDescent="0.25">
      <c r="B39" s="187"/>
      <c r="C39" s="331"/>
      <c r="D39" s="326"/>
      <c r="E39" s="93"/>
      <c r="F39" s="342"/>
      <c r="G39" s="181"/>
      <c r="H39" s="92"/>
      <c r="I39" s="340"/>
      <c r="J39" s="322"/>
      <c r="K39" s="181"/>
    </row>
    <row r="40" spans="2:11" x14ac:dyDescent="0.25">
      <c r="B40" s="187" t="s">
        <v>447</v>
      </c>
      <c r="C40" s="331"/>
      <c r="D40" s="326">
        <v>84</v>
      </c>
      <c r="E40" s="93"/>
      <c r="F40" s="342"/>
      <c r="G40" s="181"/>
      <c r="H40" s="92"/>
      <c r="I40" s="340"/>
      <c r="J40" s="322"/>
      <c r="K40" s="181">
        <f>D40</f>
        <v>84</v>
      </c>
    </row>
    <row r="41" spans="2:11" x14ac:dyDescent="0.25">
      <c r="B41" s="187"/>
      <c r="C41" s="331"/>
      <c r="D41" s="326"/>
      <c r="E41" s="93"/>
      <c r="F41" s="342"/>
      <c r="G41" s="181"/>
      <c r="H41" s="92"/>
      <c r="I41" s="340"/>
      <c r="J41" s="322"/>
      <c r="K41" s="181"/>
    </row>
    <row r="42" spans="2:11" x14ac:dyDescent="0.25">
      <c r="B42" s="211" t="s">
        <v>448</v>
      </c>
      <c r="C42" s="333">
        <v>121</v>
      </c>
      <c r="D42" s="328"/>
      <c r="E42" s="316"/>
      <c r="F42" s="342"/>
      <c r="G42" s="257"/>
      <c r="H42" s="334">
        <f>+H10+H28+H34</f>
        <v>754</v>
      </c>
      <c r="I42" s="334">
        <f>+I10+I28+I34</f>
        <v>1114</v>
      </c>
      <c r="J42" s="320"/>
      <c r="K42" s="257">
        <f>C42</f>
        <v>121</v>
      </c>
    </row>
    <row r="43" spans="2:11" s="3" customFormat="1" x14ac:dyDescent="0.25">
      <c r="C43" s="317"/>
      <c r="D43" s="317"/>
      <c r="E43" s="317"/>
      <c r="F43" s="317"/>
      <c r="G43" s="317"/>
      <c r="H43" s="317"/>
      <c r="I43" s="317"/>
      <c r="J43" s="317"/>
      <c r="K43" s="317"/>
    </row>
    <row r="44" spans="2:11" s="3" customFormat="1" x14ac:dyDescent="0.25">
      <c r="C44" s="317"/>
      <c r="D44" s="317"/>
      <c r="E44" s="317"/>
      <c r="F44" s="317"/>
      <c r="G44" s="317"/>
      <c r="H44" s="317"/>
      <c r="I44" s="317"/>
      <c r="J44" s="317"/>
      <c r="K44" s="317"/>
    </row>
  </sheetData>
  <mergeCells count="1">
    <mergeCell ref="B2:B4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6"/>
  <sheetViews>
    <sheetView workbookViewId="0">
      <selection activeCell="A2" sqref="A2"/>
    </sheetView>
  </sheetViews>
  <sheetFormatPr baseColWidth="10" defaultRowHeight="15" x14ac:dyDescent="0.25"/>
  <cols>
    <col min="1" max="1" width="37.85546875" bestFit="1" customWidth="1"/>
    <col min="2" max="3" width="6.28515625" customWidth="1"/>
    <col min="4" max="4" width="5.7109375" style="1" customWidth="1"/>
    <col min="5" max="5" width="16.7109375" style="1" bestFit="1" customWidth="1"/>
    <col min="6" max="6" width="34.140625" bestFit="1" customWidth="1"/>
  </cols>
  <sheetData>
    <row r="2" spans="1:6" ht="15" customHeight="1" x14ac:dyDescent="0.25">
      <c r="A2" s="29" t="s">
        <v>107</v>
      </c>
      <c r="B2" s="30"/>
      <c r="C2" s="30"/>
      <c r="D2" s="30"/>
      <c r="E2" s="30"/>
      <c r="F2" s="51"/>
    </row>
    <row r="3" spans="1:6" ht="15" customHeight="1" x14ac:dyDescent="0.25">
      <c r="A3" s="25" t="s">
        <v>99</v>
      </c>
      <c r="B3" s="26" t="s">
        <v>98</v>
      </c>
      <c r="C3" s="26" t="s">
        <v>17</v>
      </c>
      <c r="D3" s="27"/>
      <c r="E3" s="27"/>
      <c r="F3" s="28"/>
    </row>
    <row r="4" spans="1:6" ht="15" customHeight="1" x14ac:dyDescent="0.25">
      <c r="A4" s="8" t="s">
        <v>0</v>
      </c>
      <c r="B4" s="9"/>
      <c r="C4" s="8"/>
      <c r="D4" s="8"/>
      <c r="E4" s="8"/>
      <c r="F4" s="8"/>
    </row>
    <row r="5" spans="1:6" ht="15" customHeight="1" x14ac:dyDescent="0.25">
      <c r="A5" s="10" t="s">
        <v>44</v>
      </c>
      <c r="B5" s="9"/>
      <c r="C5" s="8">
        <v>8</v>
      </c>
      <c r="D5" s="8">
        <v>34</v>
      </c>
      <c r="E5" s="8" t="s">
        <v>116</v>
      </c>
      <c r="F5" s="8" t="s">
        <v>111</v>
      </c>
    </row>
    <row r="6" spans="1:6" ht="15" customHeight="1" x14ac:dyDescent="0.25">
      <c r="A6" s="10" t="s">
        <v>8</v>
      </c>
      <c r="B6" s="9"/>
      <c r="C6" s="8"/>
      <c r="D6" s="8">
        <v>7</v>
      </c>
      <c r="E6" s="8" t="str">
        <f>E5</f>
        <v>scolaire</v>
      </c>
      <c r="F6" s="8" t="s">
        <v>112</v>
      </c>
    </row>
    <row r="7" spans="1:6" ht="15" customHeight="1" x14ac:dyDescent="0.25">
      <c r="A7" s="10" t="s">
        <v>11</v>
      </c>
      <c r="B7" s="9"/>
      <c r="C7" s="8">
        <v>0.5</v>
      </c>
      <c r="D7" s="8">
        <v>6</v>
      </c>
      <c r="E7" s="8" t="str">
        <f>E6</f>
        <v>scolaire</v>
      </c>
      <c r="F7" s="8" t="s">
        <v>112</v>
      </c>
    </row>
    <row r="8" spans="1:6" ht="15" customHeight="1" x14ac:dyDescent="0.25">
      <c r="A8" s="10" t="s">
        <v>12</v>
      </c>
      <c r="B8" s="9"/>
      <c r="C8" s="8"/>
      <c r="D8" s="8">
        <v>2</v>
      </c>
      <c r="E8" s="8" t="s">
        <v>110</v>
      </c>
      <c r="F8" s="8"/>
    </row>
    <row r="9" spans="1:6" ht="15" customHeight="1" x14ac:dyDescent="0.25">
      <c r="A9" s="10" t="s">
        <v>13</v>
      </c>
      <c r="B9" s="9"/>
      <c r="C9" s="8"/>
      <c r="D9" s="8">
        <v>10</v>
      </c>
      <c r="E9" s="8" t="s">
        <v>110</v>
      </c>
      <c r="F9" s="8"/>
    </row>
    <row r="10" spans="1:6" ht="15" customHeight="1" x14ac:dyDescent="0.25">
      <c r="A10" s="10" t="s">
        <v>45</v>
      </c>
      <c r="B10" s="9"/>
      <c r="C10" s="8"/>
      <c r="D10" s="8"/>
      <c r="E10" s="8" t="s">
        <v>110</v>
      </c>
      <c r="F10" s="8" t="s">
        <v>112</v>
      </c>
    </row>
    <row r="11" spans="1:6" ht="15" customHeight="1" x14ac:dyDescent="0.25">
      <c r="A11" s="11" t="s">
        <v>1</v>
      </c>
      <c r="B11" s="9"/>
      <c r="C11" s="8"/>
      <c r="D11" s="8">
        <v>12</v>
      </c>
      <c r="E11" s="8" t="s">
        <v>116</v>
      </c>
      <c r="F11" s="8"/>
    </row>
    <row r="12" spans="1:6" ht="15" customHeight="1" x14ac:dyDescent="0.25">
      <c r="A12" s="11" t="s">
        <v>108</v>
      </c>
      <c r="B12" s="9"/>
      <c r="C12" s="8">
        <v>1</v>
      </c>
      <c r="D12" s="8">
        <v>9</v>
      </c>
      <c r="E12" s="8" t="str">
        <f>E11</f>
        <v>scolaire</v>
      </c>
      <c r="F12" s="8" t="s">
        <v>113</v>
      </c>
    </row>
    <row r="13" spans="1:6" ht="15" customHeight="1" x14ac:dyDescent="0.25">
      <c r="A13" s="11" t="s">
        <v>2</v>
      </c>
      <c r="B13" s="9" t="s">
        <v>21</v>
      </c>
      <c r="C13" s="8">
        <v>3</v>
      </c>
      <c r="D13" s="8">
        <v>28</v>
      </c>
      <c r="E13" s="8" t="str">
        <f>E12</f>
        <v>scolaire</v>
      </c>
      <c r="F13" s="8" t="s">
        <v>114</v>
      </c>
    </row>
    <row r="14" spans="1:6" ht="15" customHeight="1" x14ac:dyDescent="0.25">
      <c r="A14" s="11" t="s">
        <v>422</v>
      </c>
      <c r="B14" s="9"/>
      <c r="C14" s="8">
        <v>1</v>
      </c>
      <c r="D14" s="8">
        <v>15</v>
      </c>
      <c r="E14" s="8" t="s">
        <v>110</v>
      </c>
      <c r="F14" s="8" t="s">
        <v>115</v>
      </c>
    </row>
    <row r="15" spans="1:6" ht="15" customHeight="1" x14ac:dyDescent="0.25">
      <c r="A15" s="11" t="s">
        <v>36</v>
      </c>
      <c r="B15" s="9"/>
      <c r="C15" s="8"/>
      <c r="D15" s="8"/>
      <c r="E15" s="8"/>
      <c r="F15" s="8"/>
    </row>
    <row r="16" spans="1:6" ht="15" customHeight="1" x14ac:dyDescent="0.25">
      <c r="A16" s="11" t="s">
        <v>90</v>
      </c>
      <c r="B16" s="9"/>
      <c r="C16" s="8"/>
      <c r="D16" s="8"/>
      <c r="E16" s="8"/>
      <c r="F16" s="8"/>
    </row>
    <row r="17" spans="1:6" ht="15" customHeight="1" x14ac:dyDescent="0.25">
      <c r="A17" s="11" t="s">
        <v>14</v>
      </c>
      <c r="B17" s="9"/>
      <c r="C17" s="8"/>
      <c r="D17" s="8">
        <v>10</v>
      </c>
      <c r="E17" s="8" t="s">
        <v>129</v>
      </c>
      <c r="F17" s="8"/>
    </row>
    <row r="18" spans="1:6" ht="15" customHeight="1" x14ac:dyDescent="0.25">
      <c r="A18" s="11" t="s">
        <v>15</v>
      </c>
      <c r="B18" s="9"/>
      <c r="C18" s="8">
        <v>1</v>
      </c>
      <c r="D18" s="8">
        <v>1</v>
      </c>
      <c r="E18" s="8" t="s">
        <v>110</v>
      </c>
      <c r="F18" s="8" t="s">
        <v>115</v>
      </c>
    </row>
    <row r="19" spans="1:6" ht="15" customHeight="1" x14ac:dyDescent="0.25">
      <c r="A19" s="11" t="s">
        <v>19</v>
      </c>
      <c r="B19" s="9" t="s">
        <v>21</v>
      </c>
      <c r="C19" s="8">
        <v>11</v>
      </c>
      <c r="D19" s="8">
        <v>15</v>
      </c>
      <c r="E19" s="8" t="s">
        <v>110</v>
      </c>
      <c r="F19" s="8" t="s">
        <v>118</v>
      </c>
    </row>
    <row r="20" spans="1:6" ht="15" customHeight="1" x14ac:dyDescent="0.25">
      <c r="A20" s="11" t="s">
        <v>109</v>
      </c>
      <c r="B20" s="9"/>
      <c r="C20" s="8"/>
      <c r="D20" s="8"/>
      <c r="E20" s="8" t="s">
        <v>110</v>
      </c>
      <c r="F20" s="8"/>
    </row>
    <row r="21" spans="1:6" ht="15" customHeight="1" x14ac:dyDescent="0.25">
      <c r="A21" s="11" t="s">
        <v>20</v>
      </c>
      <c r="B21" s="9"/>
      <c r="C21" s="8"/>
      <c r="D21" s="8">
        <v>35</v>
      </c>
      <c r="E21" s="8" t="s">
        <v>121</v>
      </c>
      <c r="F21" s="8" t="s">
        <v>119</v>
      </c>
    </row>
    <row r="22" spans="1:6" ht="15" customHeight="1" x14ac:dyDescent="0.25">
      <c r="A22" s="11" t="s">
        <v>16</v>
      </c>
      <c r="B22" s="9"/>
      <c r="C22" s="8"/>
      <c r="D22" s="8">
        <v>11</v>
      </c>
      <c r="E22" s="8" t="s">
        <v>120</v>
      </c>
      <c r="F22" s="8" t="s">
        <v>118</v>
      </c>
    </row>
    <row r="23" spans="1:6" ht="15" customHeight="1" x14ac:dyDescent="0.25">
      <c r="A23" s="11" t="s">
        <v>105</v>
      </c>
      <c r="B23" s="9"/>
      <c r="C23" s="8"/>
      <c r="D23" s="8">
        <v>4</v>
      </c>
      <c r="E23" s="8" t="s">
        <v>110</v>
      </c>
      <c r="F23" s="8" t="s">
        <v>116</v>
      </c>
    </row>
    <row r="24" spans="1:6" ht="15" customHeight="1" x14ac:dyDescent="0.25">
      <c r="A24" s="11" t="s">
        <v>22</v>
      </c>
      <c r="B24" s="9"/>
      <c r="C24" s="8"/>
      <c r="D24" s="8"/>
      <c r="E24" s="8" t="s">
        <v>110</v>
      </c>
      <c r="F24" s="8"/>
    </row>
    <row r="25" spans="1:6" ht="15" customHeight="1" x14ac:dyDescent="0.25">
      <c r="A25" s="11" t="s">
        <v>23</v>
      </c>
      <c r="B25" s="9"/>
      <c r="C25" s="8"/>
      <c r="D25" s="8"/>
      <c r="E25" s="8" t="s">
        <v>110</v>
      </c>
      <c r="F25" s="8"/>
    </row>
    <row r="26" spans="1:6" ht="15" customHeight="1" x14ac:dyDescent="0.25">
      <c r="A26" s="10" t="s">
        <v>31</v>
      </c>
      <c r="B26" s="9"/>
      <c r="C26" s="8"/>
      <c r="D26" s="8"/>
      <c r="E26" s="8" t="s">
        <v>120</v>
      </c>
      <c r="F26" s="8" t="s">
        <v>117</v>
      </c>
    </row>
    <row r="27" spans="1:6" ht="15" customHeight="1" x14ac:dyDescent="0.25">
      <c r="A27" s="12"/>
      <c r="B27" s="6"/>
      <c r="C27" s="6">
        <v>25.5</v>
      </c>
      <c r="D27" s="7">
        <f>SUM(D4:D25)</f>
        <v>199</v>
      </c>
      <c r="E27" s="7"/>
      <c r="F27" s="2"/>
    </row>
    <row r="28" spans="1:6" ht="15" customHeight="1" x14ac:dyDescent="0.25">
      <c r="A28" s="13"/>
      <c r="B28" s="14"/>
      <c r="C28" s="14"/>
      <c r="D28" s="14"/>
      <c r="E28" s="14"/>
      <c r="F28" s="14"/>
    </row>
    <row r="29" spans="1:6" ht="15" customHeight="1" x14ac:dyDescent="0.25">
      <c r="A29" s="29" t="str">
        <f>A2</f>
        <v>Méthodes et formules démontrées</v>
      </c>
      <c r="B29" s="30"/>
      <c r="C29" s="30"/>
      <c r="D29" s="30"/>
      <c r="E29" s="30"/>
      <c r="F29" s="51"/>
    </row>
    <row r="30" spans="1:6" s="3" customFormat="1" ht="15" customHeight="1" x14ac:dyDescent="0.25">
      <c r="A30" s="25"/>
      <c r="B30" s="26" t="s">
        <v>98</v>
      </c>
      <c r="C30" s="26" t="s">
        <v>17</v>
      </c>
      <c r="D30" s="27"/>
      <c r="E30" s="27"/>
      <c r="F30" s="28"/>
    </row>
    <row r="31" spans="1:6" ht="15" customHeight="1" x14ac:dyDescent="0.25">
      <c r="A31" s="15" t="s">
        <v>3</v>
      </c>
      <c r="B31" s="15"/>
      <c r="C31" s="15"/>
      <c r="D31" s="16"/>
      <c r="E31" s="16"/>
      <c r="F31" s="16"/>
    </row>
    <row r="32" spans="1:6" ht="15" customHeight="1" x14ac:dyDescent="0.25">
      <c r="A32" s="17" t="s">
        <v>29</v>
      </c>
      <c r="B32" s="18"/>
      <c r="C32" s="18"/>
      <c r="D32" s="8"/>
      <c r="E32" s="8" t="s">
        <v>110</v>
      </c>
      <c r="F32" s="8"/>
    </row>
    <row r="33" spans="1:6" ht="15" customHeight="1" x14ac:dyDescent="0.25">
      <c r="A33" s="19" t="s">
        <v>4</v>
      </c>
      <c r="B33" s="18"/>
      <c r="C33" s="18"/>
      <c r="D33" s="8">
        <v>2</v>
      </c>
      <c r="E33" s="8" t="s">
        <v>116</v>
      </c>
      <c r="F33" s="8"/>
    </row>
    <row r="34" spans="1:6" ht="15" customHeight="1" x14ac:dyDescent="0.25">
      <c r="A34" s="19" t="s">
        <v>33</v>
      </c>
      <c r="B34" s="18"/>
      <c r="C34" s="18"/>
      <c r="D34" s="8"/>
      <c r="E34" s="8" t="s">
        <v>116</v>
      </c>
      <c r="F34" s="8" t="s">
        <v>127</v>
      </c>
    </row>
    <row r="35" spans="1:6" ht="15" customHeight="1" x14ac:dyDescent="0.25">
      <c r="A35" s="19" t="s">
        <v>89</v>
      </c>
      <c r="B35" s="18"/>
      <c r="C35" s="18">
        <v>1</v>
      </c>
      <c r="D35" s="8">
        <v>18</v>
      </c>
      <c r="E35" s="8" t="s">
        <v>116</v>
      </c>
      <c r="F35" s="8" t="s">
        <v>128</v>
      </c>
    </row>
    <row r="36" spans="1:6" ht="15" customHeight="1" x14ac:dyDescent="0.25">
      <c r="A36" s="19" t="s">
        <v>10</v>
      </c>
      <c r="B36" s="18"/>
      <c r="C36" s="18"/>
      <c r="D36" s="8">
        <v>6</v>
      </c>
      <c r="E36" s="8"/>
      <c r="F36" s="8"/>
    </row>
    <row r="37" spans="1:6" ht="15" customHeight="1" x14ac:dyDescent="0.25">
      <c r="A37" s="19" t="s">
        <v>88</v>
      </c>
      <c r="B37" s="18" t="s">
        <v>21</v>
      </c>
      <c r="C37" s="18"/>
      <c r="D37" s="8">
        <v>18</v>
      </c>
      <c r="E37" s="8"/>
      <c r="F37" s="8" t="s">
        <v>117</v>
      </c>
    </row>
    <row r="38" spans="1:6" ht="15" customHeight="1" x14ac:dyDescent="0.25">
      <c r="A38" s="19" t="s">
        <v>32</v>
      </c>
      <c r="B38" s="18"/>
      <c r="C38" s="18"/>
      <c r="D38" s="8"/>
      <c r="E38" s="8"/>
      <c r="F38" s="8"/>
    </row>
    <row r="39" spans="1:6" ht="15" customHeight="1" x14ac:dyDescent="0.25">
      <c r="A39" s="19" t="s">
        <v>30</v>
      </c>
      <c r="B39" s="18"/>
      <c r="C39" s="18"/>
      <c r="D39" s="8"/>
      <c r="E39" s="8"/>
      <c r="F39" s="8"/>
    </row>
    <row r="40" spans="1:6" ht="15" customHeight="1" x14ac:dyDescent="0.25">
      <c r="A40" s="19" t="s">
        <v>5</v>
      </c>
      <c r="B40" s="18"/>
      <c r="C40" s="18"/>
      <c r="D40" s="8">
        <v>12</v>
      </c>
      <c r="E40" s="8"/>
      <c r="F40" s="8" t="s">
        <v>125</v>
      </c>
    </row>
    <row r="41" spans="1:6" ht="15" customHeight="1" x14ac:dyDescent="0.25">
      <c r="A41" s="19" t="s">
        <v>18</v>
      </c>
      <c r="B41" s="18"/>
      <c r="C41" s="18">
        <v>1</v>
      </c>
      <c r="D41" s="8"/>
      <c r="E41" s="8"/>
      <c r="F41" s="8" t="s">
        <v>117</v>
      </c>
    </row>
    <row r="42" spans="1:6" ht="15" customHeight="1" x14ac:dyDescent="0.25">
      <c r="A42" s="19" t="s">
        <v>34</v>
      </c>
      <c r="B42" s="18"/>
      <c r="C42" s="18"/>
      <c r="D42" s="8">
        <v>18</v>
      </c>
      <c r="E42" s="8"/>
      <c r="F42" s="8"/>
    </row>
    <row r="43" spans="1:6" ht="15" customHeight="1" x14ac:dyDescent="0.25">
      <c r="A43" s="19" t="s">
        <v>6</v>
      </c>
      <c r="B43" s="18"/>
      <c r="C43" s="18"/>
      <c r="D43" s="8"/>
      <c r="E43" s="8" t="s">
        <v>126</v>
      </c>
      <c r="F43" s="8"/>
    </row>
    <row r="44" spans="1:6" ht="15" customHeight="1" x14ac:dyDescent="0.25">
      <c r="A44" s="19" t="s">
        <v>35</v>
      </c>
      <c r="B44" s="18"/>
      <c r="C44" s="18"/>
      <c r="D44" s="8"/>
      <c r="E44" s="8"/>
      <c r="F44" s="8"/>
    </row>
    <row r="45" spans="1:6" ht="15" customHeight="1" x14ac:dyDescent="0.25">
      <c r="A45" s="19" t="s">
        <v>100</v>
      </c>
      <c r="B45" s="18"/>
      <c r="C45" s="18"/>
      <c r="D45" s="8"/>
      <c r="E45" s="8"/>
      <c r="F45" s="8"/>
    </row>
    <row r="46" spans="1:6" ht="15" customHeight="1" x14ac:dyDescent="0.25">
      <c r="A46" s="19" t="s">
        <v>101</v>
      </c>
      <c r="B46" s="18"/>
      <c r="C46" s="18"/>
      <c r="D46" s="8"/>
      <c r="E46" s="8"/>
      <c r="F46" s="8"/>
    </row>
    <row r="47" spans="1:6" ht="15" customHeight="1" x14ac:dyDescent="0.25">
      <c r="A47" s="19" t="s">
        <v>37</v>
      </c>
      <c r="B47" s="18"/>
      <c r="C47" s="18"/>
      <c r="D47" s="8"/>
      <c r="E47" s="8" t="s">
        <v>126</v>
      </c>
      <c r="F47" s="8"/>
    </row>
    <row r="48" spans="1:6" ht="15" customHeight="1" x14ac:dyDescent="0.25">
      <c r="A48" s="19" t="s">
        <v>102</v>
      </c>
      <c r="B48" s="18"/>
      <c r="C48" s="18"/>
      <c r="D48" s="8">
        <v>4</v>
      </c>
      <c r="E48" s="8" t="s">
        <v>126</v>
      </c>
      <c r="F48" s="8"/>
    </row>
    <row r="49" spans="1:6" ht="15" customHeight="1" x14ac:dyDescent="0.25">
      <c r="A49" s="20"/>
      <c r="B49" s="21"/>
      <c r="C49" s="21"/>
      <c r="D49" s="22"/>
      <c r="E49" s="22"/>
      <c r="F49" s="22"/>
    </row>
    <row r="50" spans="1:6" ht="15" customHeight="1" x14ac:dyDescent="0.25">
      <c r="A50" s="12"/>
      <c r="B50" s="6"/>
      <c r="C50" s="6">
        <v>1</v>
      </c>
      <c r="D50" s="7">
        <f>SUM(D31:D49)</f>
        <v>78</v>
      </c>
      <c r="E50" s="7"/>
      <c r="F50" s="2"/>
    </row>
    <row r="51" spans="1:6" ht="15" customHeight="1" x14ac:dyDescent="0.25">
      <c r="A51" s="13"/>
      <c r="B51" s="14"/>
      <c r="C51" s="14"/>
      <c r="D51" s="14"/>
      <c r="E51" s="14"/>
      <c r="F51" s="14"/>
    </row>
    <row r="52" spans="1:6" ht="15" customHeight="1" x14ac:dyDescent="0.25">
      <c r="A52" s="29" t="str">
        <f>A2</f>
        <v>Méthodes et formules démontrées</v>
      </c>
      <c r="B52" s="30"/>
      <c r="C52" s="30"/>
      <c r="D52" s="30"/>
      <c r="E52" s="30"/>
      <c r="F52" s="51"/>
    </row>
    <row r="53" spans="1:6" s="3" customFormat="1" ht="15" customHeight="1" x14ac:dyDescent="0.25">
      <c r="A53" s="25"/>
      <c r="B53" s="26" t="s">
        <v>98</v>
      </c>
      <c r="C53" s="26" t="s">
        <v>17</v>
      </c>
      <c r="D53" s="27"/>
      <c r="E53" s="27"/>
      <c r="F53" s="28"/>
    </row>
    <row r="54" spans="1:6" ht="15" customHeight="1" x14ac:dyDescent="0.25">
      <c r="A54" s="16" t="s">
        <v>7</v>
      </c>
      <c r="B54" s="16"/>
      <c r="C54" s="16"/>
      <c r="D54" s="16"/>
      <c r="E54" s="16"/>
      <c r="F54" s="16"/>
    </row>
    <row r="55" spans="1:6" ht="15" customHeight="1" x14ac:dyDescent="0.25">
      <c r="A55" s="10" t="s">
        <v>9</v>
      </c>
      <c r="B55" s="8"/>
      <c r="C55" s="8"/>
      <c r="D55" s="8">
        <v>4</v>
      </c>
      <c r="E55" s="8" t="s">
        <v>116</v>
      </c>
      <c r="F55" s="8"/>
    </row>
    <row r="56" spans="1:6" ht="15" customHeight="1" x14ac:dyDescent="0.25">
      <c r="A56" s="10" t="s">
        <v>26</v>
      </c>
      <c r="B56" s="8"/>
      <c r="C56" s="8"/>
      <c r="D56" s="8"/>
      <c r="E56" s="8" t="s">
        <v>120</v>
      </c>
      <c r="F56" s="8" t="s">
        <v>122</v>
      </c>
    </row>
    <row r="57" spans="1:6" ht="15" customHeight="1" x14ac:dyDescent="0.25">
      <c r="A57" s="11" t="s">
        <v>39</v>
      </c>
      <c r="B57" s="8"/>
      <c r="C57" s="8"/>
      <c r="D57" s="8">
        <v>21</v>
      </c>
      <c r="E57" s="8" t="s">
        <v>116</v>
      </c>
      <c r="F57" s="8"/>
    </row>
    <row r="58" spans="1:6" ht="15" customHeight="1" x14ac:dyDescent="0.25">
      <c r="A58" s="10" t="s">
        <v>103</v>
      </c>
      <c r="B58" s="8" t="s">
        <v>21</v>
      </c>
      <c r="C58" s="8">
        <v>5</v>
      </c>
      <c r="D58" s="8">
        <v>108</v>
      </c>
      <c r="E58" s="8" t="s">
        <v>123</v>
      </c>
      <c r="F58" s="8" t="s">
        <v>124</v>
      </c>
    </row>
    <row r="59" spans="1:6" ht="15" customHeight="1" x14ac:dyDescent="0.25">
      <c r="A59" s="10" t="s">
        <v>24</v>
      </c>
      <c r="B59" s="8"/>
      <c r="C59" s="8"/>
      <c r="D59" s="8"/>
      <c r="E59" s="8" t="s">
        <v>123</v>
      </c>
      <c r="F59" s="8"/>
    </row>
    <row r="60" spans="1:6" ht="15" customHeight="1" x14ac:dyDescent="0.25">
      <c r="A60" s="10" t="s">
        <v>25</v>
      </c>
      <c r="B60" s="8"/>
      <c r="C60" s="8"/>
      <c r="D60" s="8"/>
      <c r="E60" s="8" t="s">
        <v>116</v>
      </c>
      <c r="F60" s="8"/>
    </row>
    <row r="61" spans="1:6" ht="15" customHeight="1" x14ac:dyDescent="0.25">
      <c r="A61" s="10" t="s">
        <v>38</v>
      </c>
      <c r="B61" s="8"/>
      <c r="C61" s="8"/>
      <c r="D61" s="8">
        <v>12</v>
      </c>
      <c r="E61" s="8" t="s">
        <v>116</v>
      </c>
      <c r="F61" s="8"/>
    </row>
    <row r="62" spans="1:6" ht="15" customHeight="1" x14ac:dyDescent="0.25">
      <c r="A62" s="10" t="s">
        <v>40</v>
      </c>
      <c r="B62" s="8"/>
      <c r="C62" s="8"/>
      <c r="D62" s="8"/>
      <c r="E62" s="8" t="s">
        <v>116</v>
      </c>
      <c r="F62" s="8"/>
    </row>
    <row r="63" spans="1:6" ht="15" customHeight="1" x14ac:dyDescent="0.25">
      <c r="A63" s="10" t="s">
        <v>41</v>
      </c>
      <c r="B63" s="8"/>
      <c r="C63" s="8">
        <v>2</v>
      </c>
      <c r="D63" s="8">
        <v>5</v>
      </c>
      <c r="E63" s="8" t="s">
        <v>120</v>
      </c>
      <c r="F63" s="8"/>
    </row>
    <row r="64" spans="1:6" ht="15" customHeight="1" x14ac:dyDescent="0.25">
      <c r="A64" s="10" t="s">
        <v>43</v>
      </c>
      <c r="B64" s="8"/>
      <c r="C64" s="8"/>
      <c r="D64" s="8"/>
      <c r="E64" s="8"/>
      <c r="F64" s="8"/>
    </row>
    <row r="65" spans="1:6" ht="15" customHeight="1" x14ac:dyDescent="0.25">
      <c r="A65" s="10"/>
      <c r="B65" s="8"/>
      <c r="C65" s="8"/>
      <c r="D65" s="8"/>
      <c r="E65" s="8"/>
      <c r="F65" s="8"/>
    </row>
    <row r="66" spans="1:6" ht="15" customHeight="1" x14ac:dyDescent="0.25">
      <c r="A66" s="12" t="s">
        <v>28</v>
      </c>
      <c r="B66" s="6"/>
      <c r="C66" s="6">
        <v>7</v>
      </c>
      <c r="D66" s="7">
        <f>SUM(D54:D61)</f>
        <v>145</v>
      </c>
      <c r="E66" s="7"/>
      <c r="F66" s="2"/>
    </row>
    <row r="67" spans="1:6" s="3" customFormat="1" ht="15" customHeight="1" x14ac:dyDescent="0.25">
      <c r="A67" s="13"/>
      <c r="B67" s="14"/>
      <c r="C67" s="14"/>
      <c r="D67" s="14"/>
      <c r="E67" s="14"/>
      <c r="F67" s="14"/>
    </row>
    <row r="68" spans="1:6" x14ac:dyDescent="0.25">
      <c r="A68" s="23" t="s">
        <v>42</v>
      </c>
      <c r="B68" s="24"/>
      <c r="C68" s="52">
        <v>33.5</v>
      </c>
      <c r="D68" s="52">
        <f>D66+D50+D27</f>
        <v>422</v>
      </c>
      <c r="E68" s="52"/>
      <c r="F68" s="52"/>
    </row>
    <row r="69" spans="1:6" x14ac:dyDescent="0.25">
      <c r="A69" s="33"/>
      <c r="B69" s="33"/>
      <c r="C69" s="14"/>
      <c r="D69" s="31"/>
      <c r="E69" s="31"/>
      <c r="F69" s="31"/>
    </row>
    <row r="71" spans="1:6" s="3" customFormat="1" x14ac:dyDescent="0.25">
      <c r="A71" s="42"/>
      <c r="B71" s="53"/>
      <c r="C71" s="53"/>
      <c r="D71" s="53"/>
      <c r="E71" s="53"/>
      <c r="F71" s="42"/>
    </row>
    <row r="72" spans="1:6" s="3" customFormat="1" x14ac:dyDescent="0.25">
      <c r="A72" s="32"/>
      <c r="B72" s="32"/>
      <c r="C72" s="32"/>
      <c r="D72" s="32"/>
      <c r="E72" s="32"/>
      <c r="F72" s="32"/>
    </row>
    <row r="73" spans="1:6" s="3" customFormat="1" x14ac:dyDescent="0.25">
      <c r="A73" s="41"/>
      <c r="B73" s="41"/>
      <c r="C73" s="32"/>
      <c r="D73" s="42"/>
      <c r="E73" s="42"/>
      <c r="F73" s="42"/>
    </row>
    <row r="74" spans="1:6" s="3" customFormat="1" x14ac:dyDescent="0.25">
      <c r="A74" s="41"/>
      <c r="B74" s="41"/>
      <c r="C74" s="32"/>
      <c r="D74" s="42"/>
      <c r="E74" s="42"/>
      <c r="F74" s="42"/>
    </row>
    <row r="75" spans="1:6" s="3" customFormat="1" x14ac:dyDescent="0.25">
      <c r="A75" s="41"/>
      <c r="B75" s="41"/>
      <c r="C75" s="32"/>
      <c r="D75" s="42"/>
      <c r="E75" s="42"/>
      <c r="F75" s="42"/>
    </row>
    <row r="76" spans="1:6" s="3" customFormat="1" ht="6" customHeight="1" x14ac:dyDescent="0.25">
      <c r="A76" s="41"/>
      <c r="B76" s="41"/>
      <c r="C76" s="32"/>
      <c r="D76" s="42"/>
      <c r="E76" s="42"/>
      <c r="F76" s="42"/>
    </row>
    <row r="77" spans="1:6" s="3" customFormat="1" x14ac:dyDescent="0.25">
      <c r="A77" s="41"/>
      <c r="B77" s="41"/>
      <c r="C77" s="32"/>
      <c r="D77" s="42"/>
      <c r="E77" s="42"/>
      <c r="F77" s="42"/>
    </row>
    <row r="78" spans="1:6" s="3" customFormat="1" x14ac:dyDescent="0.25">
      <c r="D78" s="4"/>
      <c r="E78" s="4"/>
    </row>
    <row r="79" spans="1:6" s="3" customFormat="1" x14ac:dyDescent="0.25">
      <c r="D79" s="4"/>
      <c r="E79" s="4"/>
    </row>
    <row r="80" spans="1:6" s="3" customFormat="1" x14ac:dyDescent="0.25">
      <c r="D80" s="4"/>
      <c r="E80" s="4"/>
    </row>
    <row r="81" spans="4:5" s="3" customFormat="1" x14ac:dyDescent="0.25">
      <c r="D81" s="4"/>
      <c r="E81" s="4"/>
    </row>
    <row r="82" spans="4:5" s="3" customFormat="1" x14ac:dyDescent="0.25">
      <c r="D82" s="4"/>
      <c r="E82" s="4"/>
    </row>
    <row r="83" spans="4:5" s="3" customFormat="1" x14ac:dyDescent="0.25">
      <c r="D83" s="4"/>
      <c r="E83" s="4"/>
    </row>
    <row r="84" spans="4:5" s="3" customFormat="1" x14ac:dyDescent="0.25">
      <c r="D84" s="4"/>
      <c r="E84" s="4"/>
    </row>
    <row r="85" spans="4:5" s="3" customFormat="1" x14ac:dyDescent="0.25">
      <c r="D85" s="4"/>
      <c r="E85" s="4"/>
    </row>
    <row r="86" spans="4:5" s="3" customFormat="1" x14ac:dyDescent="0.25">
      <c r="D86" s="4"/>
      <c r="E86" s="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70"/>
  <sheetViews>
    <sheetView showGridLines="0" zoomScale="130" zoomScaleNormal="130" workbookViewId="0">
      <selection activeCell="AB23" sqref="AB23"/>
    </sheetView>
  </sheetViews>
  <sheetFormatPr baseColWidth="10" defaultRowHeight="15" x14ac:dyDescent="0.25"/>
  <cols>
    <col min="1" max="1" width="2.140625" customWidth="1"/>
    <col min="2" max="2" width="2.7109375" style="1" customWidth="1"/>
    <col min="3" max="3" width="22.5703125" bestFit="1" customWidth="1"/>
    <col min="4" max="4" width="4.5703125" customWidth="1"/>
    <col min="5" max="6" width="4.5703125" style="1" customWidth="1"/>
    <col min="7" max="7" width="4.42578125" style="1" bestFit="1" customWidth="1"/>
    <col min="8" max="8" width="2.7109375" style="1" customWidth="1"/>
    <col min="9" max="9" width="32.7109375" customWidth="1"/>
    <col min="10" max="13" width="7" bestFit="1" customWidth="1"/>
    <col min="14" max="14" width="2" style="3" customWidth="1"/>
    <col min="15" max="15" width="2.7109375" style="1" customWidth="1"/>
    <col min="16" max="16" width="32.7109375" customWidth="1"/>
    <col min="17" max="20" width="7" bestFit="1" customWidth="1"/>
    <col min="21" max="21" width="2.7109375" customWidth="1"/>
    <col min="22" max="24" width="7" customWidth="1"/>
    <col min="25" max="25" width="2.7109375" customWidth="1"/>
    <col min="26" max="26" width="7" customWidth="1"/>
    <col min="27" max="27" width="13.42578125" customWidth="1"/>
    <col min="28" max="28" width="12" customWidth="1"/>
    <col min="29" max="29" width="7.42578125" bestFit="1" customWidth="1"/>
    <col min="30" max="30" width="65.5703125" style="119" bestFit="1" customWidth="1"/>
    <col min="31" max="31" width="37" customWidth="1"/>
    <col min="32" max="32" width="38.42578125" bestFit="1" customWidth="1"/>
    <col min="33" max="33" width="2.28515625" style="54" bestFit="1" customWidth="1"/>
    <col min="34" max="34" width="5.85546875" bestFit="1" customWidth="1"/>
    <col min="35" max="35" width="2.42578125" bestFit="1" customWidth="1"/>
    <col min="36" max="36" width="12" bestFit="1" customWidth="1"/>
    <col min="37" max="37" width="5.5703125" bestFit="1" customWidth="1"/>
    <col min="38" max="38" width="3" bestFit="1" customWidth="1"/>
    <col min="39" max="39" width="2.5703125" bestFit="1" customWidth="1"/>
    <col min="40" max="40" width="2.5703125" customWidth="1"/>
    <col min="41" max="41" width="14.42578125" customWidth="1"/>
    <col min="43" max="43" width="52.42578125" customWidth="1"/>
  </cols>
  <sheetData>
    <row r="2" spans="2:43" x14ac:dyDescent="0.25">
      <c r="B2" s="409" t="str">
        <f>AQ3</f>
        <v xml:space="preserve">Nombre d'objet construit : 66 / 78 = 84,61 %   ;   Nombre d'objet Découvert ou Modifié : 37 / 78 = 47,43 % 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1"/>
      <c r="N2" s="31"/>
      <c r="O2" s="127"/>
      <c r="P2" s="128"/>
      <c r="Q2" s="128"/>
      <c r="R2" s="128"/>
      <c r="S2" s="128"/>
      <c r="T2" s="129"/>
      <c r="U2" s="31"/>
      <c r="V2" s="31"/>
      <c r="W2" s="31"/>
      <c r="X2" s="31"/>
      <c r="Y2" s="31"/>
      <c r="Z2" s="31"/>
      <c r="AA2" s="31"/>
      <c r="AB2" s="31"/>
      <c r="AC2" s="31"/>
      <c r="AD2" s="117"/>
      <c r="AE2" s="96" t="s">
        <v>146</v>
      </c>
      <c r="AF2" s="96">
        <f>AF3+AF4+AF5</f>
        <v>66</v>
      </c>
      <c r="AG2" s="97" t="s">
        <v>95</v>
      </c>
      <c r="AH2" s="96">
        <f>C43</f>
        <v>78</v>
      </c>
      <c r="AI2" s="96" t="s">
        <v>147</v>
      </c>
      <c r="AJ2" s="96">
        <f>AF2/AH2*10000</f>
        <v>8461.538461538461</v>
      </c>
      <c r="AK2" s="96">
        <f>INT(AJ2)</f>
        <v>8461</v>
      </c>
      <c r="AL2" s="96">
        <f>AK2/100</f>
        <v>84.61</v>
      </c>
      <c r="AM2" s="98" t="s">
        <v>96</v>
      </c>
      <c r="AN2" s="98"/>
      <c r="AO2" s="96" t="str">
        <f>AF2&amp;AG2&amp;AH2&amp;AI2&amp;AL2&amp;AM2</f>
        <v xml:space="preserve">66 / 78 = 84,61 % </v>
      </c>
      <c r="AQ2" t="str">
        <f>AE2&amp;AO2</f>
        <v xml:space="preserve">Nombre d'objet construit : 66 / 78 = 84,61 % </v>
      </c>
    </row>
    <row r="3" spans="2:43" s="55" customFormat="1" ht="25.5" x14ac:dyDescent="0.25">
      <c r="B3" s="105"/>
      <c r="C3" s="106" t="s">
        <v>140</v>
      </c>
      <c r="D3" s="38" t="s">
        <v>139</v>
      </c>
      <c r="E3" s="106" t="s">
        <v>163</v>
      </c>
      <c r="F3" s="38" t="s">
        <v>138</v>
      </c>
      <c r="G3" s="107" t="s">
        <v>137</v>
      </c>
      <c r="H3" s="106"/>
      <c r="I3" s="106" t="str">
        <f>C3</f>
        <v>Libéllé</v>
      </c>
      <c r="J3" s="106" t="s">
        <v>139</v>
      </c>
      <c r="K3" s="38" t="s">
        <v>163</v>
      </c>
      <c r="L3" s="38" t="s">
        <v>138</v>
      </c>
      <c r="M3" s="107" t="s">
        <v>137</v>
      </c>
      <c r="N3" s="115"/>
      <c r="O3" s="105"/>
      <c r="P3" s="106" t="str">
        <f>I3</f>
        <v>Libéllé</v>
      </c>
      <c r="Q3" s="106" t="s">
        <v>139</v>
      </c>
      <c r="R3" s="38" t="s">
        <v>163</v>
      </c>
      <c r="S3" s="38" t="s">
        <v>138</v>
      </c>
      <c r="T3" s="107" t="s">
        <v>137</v>
      </c>
      <c r="U3" s="115"/>
      <c r="V3" s="115"/>
      <c r="W3" s="115"/>
      <c r="X3" s="115"/>
      <c r="Y3" s="115"/>
      <c r="Z3" s="115"/>
      <c r="AA3" s="115"/>
      <c r="AB3" s="115"/>
      <c r="AC3" s="115"/>
      <c r="AD3" s="118"/>
      <c r="AE3" s="99" t="s">
        <v>142</v>
      </c>
      <c r="AF3" s="96">
        <f>F43</f>
        <v>16</v>
      </c>
      <c r="AG3" s="97" t="s">
        <v>95</v>
      </c>
      <c r="AH3" s="96">
        <f>AH2</f>
        <v>78</v>
      </c>
      <c r="AI3" s="96" t="str">
        <f>AI2</f>
        <v xml:space="preserve"> = </v>
      </c>
      <c r="AJ3" s="96">
        <f>AF3/AH3*10000</f>
        <v>2051.2820512820513</v>
      </c>
      <c r="AK3" s="96">
        <f t="shared" ref="AK3:AK6" si="0">INT(AJ3)</f>
        <v>2051</v>
      </c>
      <c r="AL3" s="96">
        <f t="shared" ref="AL3:AL6" si="1">AK3/100</f>
        <v>20.51</v>
      </c>
      <c r="AM3" s="98" t="s">
        <v>96</v>
      </c>
      <c r="AN3" s="98"/>
      <c r="AO3" s="96" t="str">
        <f>AF3&amp;AG3&amp;AH3&amp;AI3&amp;AL3&amp;AM3</f>
        <v xml:space="preserve">16 / 78 = 20,51 % </v>
      </c>
      <c r="AQ3" t="str">
        <f>AQ2&amp;"  ;   "&amp;AQ7</f>
        <v xml:space="preserve">Nombre d'objet construit : 66 / 78 = 84,61 %   ;   Nombre d'objet Découvert ou Modifié : 37 / 78 = 47,43 % </v>
      </c>
    </row>
    <row r="4" spans="2:43" x14ac:dyDescent="0.25">
      <c r="B4" s="35">
        <v>1</v>
      </c>
      <c r="C4" s="101" t="s">
        <v>54</v>
      </c>
      <c r="D4" s="125"/>
      <c r="E4" s="125">
        <v>1</v>
      </c>
      <c r="F4" s="125"/>
      <c r="G4" s="125"/>
      <c r="H4" s="35">
        <v>1</v>
      </c>
      <c r="I4" s="101" t="s">
        <v>69</v>
      </c>
      <c r="J4" s="101"/>
      <c r="K4" s="125"/>
      <c r="L4" s="125"/>
      <c r="M4" s="126">
        <v>1</v>
      </c>
      <c r="N4" s="42"/>
      <c r="O4" s="35">
        <v>1</v>
      </c>
      <c r="P4" s="101" t="s">
        <v>186</v>
      </c>
      <c r="Q4" s="101"/>
      <c r="R4" s="125"/>
      <c r="S4" s="125"/>
      <c r="T4" s="126">
        <v>1</v>
      </c>
      <c r="U4" s="42"/>
      <c r="V4" s="42"/>
      <c r="W4" s="42"/>
      <c r="X4" s="42"/>
      <c r="Y4" s="42"/>
      <c r="Z4" s="42"/>
      <c r="AA4" s="42"/>
      <c r="AB4" s="42"/>
      <c r="AC4" s="42"/>
      <c r="AD4" s="117"/>
      <c r="AE4" s="96" t="s">
        <v>144</v>
      </c>
      <c r="AF4" s="96">
        <f>E43</f>
        <v>21</v>
      </c>
      <c r="AG4" s="97" t="s">
        <v>95</v>
      </c>
      <c r="AH4" s="96">
        <f t="shared" ref="AH4:AI5" si="2">AH3</f>
        <v>78</v>
      </c>
      <c r="AI4" s="96" t="str">
        <f t="shared" si="2"/>
        <v xml:space="preserve"> = </v>
      </c>
      <c r="AJ4" s="96">
        <f>AF4/AH4*10000</f>
        <v>2692.3076923076924</v>
      </c>
      <c r="AK4" s="96">
        <f t="shared" si="0"/>
        <v>2692</v>
      </c>
      <c r="AL4" s="96">
        <f t="shared" si="1"/>
        <v>26.92</v>
      </c>
      <c r="AM4" s="98" t="s">
        <v>96</v>
      </c>
      <c r="AN4" s="98"/>
      <c r="AO4" s="96" t="str">
        <f>AF4&amp;AG4&amp;AH4&amp;AI4&amp;AL4&amp;AM4</f>
        <v xml:space="preserve">21 / 78 = 26,92 % </v>
      </c>
      <c r="AQ4" t="str">
        <f>AE3&amp;AO3</f>
        <v xml:space="preserve">Nombre d'objet découvert : 16 / 78 = 20,51 % </v>
      </c>
    </row>
    <row r="5" spans="2:43" x14ac:dyDescent="0.25">
      <c r="B5" s="58">
        <v>1</v>
      </c>
      <c r="C5" s="41" t="s">
        <v>91</v>
      </c>
      <c r="D5" s="41"/>
      <c r="E5" s="42">
        <v>1</v>
      </c>
      <c r="F5" s="42"/>
      <c r="G5" s="42"/>
      <c r="H5" s="58">
        <v>1</v>
      </c>
      <c r="I5" s="41" t="s">
        <v>85</v>
      </c>
      <c r="J5" s="41"/>
      <c r="K5" s="42"/>
      <c r="L5" s="42"/>
      <c r="M5" s="59">
        <v>1</v>
      </c>
      <c r="N5" s="42"/>
      <c r="O5" s="58">
        <v>1</v>
      </c>
      <c r="P5" s="41" t="s">
        <v>315</v>
      </c>
      <c r="Q5" s="41"/>
      <c r="R5" s="42"/>
      <c r="S5" s="42">
        <v>1</v>
      </c>
      <c r="T5" s="59"/>
      <c r="U5" s="42"/>
      <c r="V5" s="42"/>
      <c r="W5" s="42"/>
      <c r="X5" s="42"/>
      <c r="Y5" s="42"/>
      <c r="Z5" s="42"/>
      <c r="AA5" s="42"/>
      <c r="AB5" s="42"/>
      <c r="AC5" s="42"/>
      <c r="AD5" s="119" t="str">
        <f>AQ19</f>
        <v xml:space="preserve">Nombre d'objet découvert : 16 / 78 = 20,51 % </v>
      </c>
      <c r="AE5" s="96" t="s">
        <v>143</v>
      </c>
      <c r="AF5" s="96">
        <f>D43</f>
        <v>29</v>
      </c>
      <c r="AG5" s="97" t="s">
        <v>95</v>
      </c>
      <c r="AH5" s="96">
        <f t="shared" si="2"/>
        <v>78</v>
      </c>
      <c r="AI5" s="96" t="str">
        <f t="shared" si="2"/>
        <v xml:space="preserve"> = </v>
      </c>
      <c r="AJ5" s="96">
        <f>AF5/AH5*10000</f>
        <v>3717.9487179487182</v>
      </c>
      <c r="AK5" s="96">
        <f t="shared" si="0"/>
        <v>3717</v>
      </c>
      <c r="AL5" s="96">
        <f t="shared" si="1"/>
        <v>37.17</v>
      </c>
      <c r="AM5" s="98" t="s">
        <v>96</v>
      </c>
      <c r="AN5" s="98"/>
      <c r="AO5" s="96" t="str">
        <f>AF5&amp;AG5&amp;AH5&amp;AI5&amp;AL5&amp;AM5</f>
        <v xml:space="preserve">29 / 78 = 37,17 % </v>
      </c>
      <c r="AQ5" t="str">
        <f>AE4&amp;AO4</f>
        <v xml:space="preserve">Nombre d'objet modifié :  21 / 78 = 26,92 % </v>
      </c>
    </row>
    <row r="6" spans="2:43" x14ac:dyDescent="0.25">
      <c r="B6" s="58">
        <v>1</v>
      </c>
      <c r="C6" s="41" t="s">
        <v>165</v>
      </c>
      <c r="D6" s="42"/>
      <c r="E6" s="42">
        <v>1</v>
      </c>
      <c r="F6" s="42"/>
      <c r="G6" s="42"/>
      <c r="H6" s="58">
        <v>1</v>
      </c>
      <c r="I6" s="41" t="s">
        <v>84</v>
      </c>
      <c r="J6" s="41"/>
      <c r="K6" s="42"/>
      <c r="L6" s="42"/>
      <c r="M6" s="59">
        <v>1</v>
      </c>
      <c r="N6" s="42"/>
      <c r="O6" s="58">
        <v>1</v>
      </c>
      <c r="P6" s="41" t="s">
        <v>316</v>
      </c>
      <c r="Q6" s="41"/>
      <c r="R6" s="42"/>
      <c r="S6" s="42"/>
      <c r="T6" s="59">
        <v>1</v>
      </c>
      <c r="U6" s="42"/>
      <c r="V6" s="42"/>
      <c r="W6" s="42"/>
      <c r="X6" s="42"/>
      <c r="Y6" s="42"/>
      <c r="Z6" s="42"/>
      <c r="AA6" s="42"/>
      <c r="AB6" s="42"/>
      <c r="AC6" s="42"/>
      <c r="AD6" s="119" t="str">
        <f>AQ20</f>
        <v xml:space="preserve">Nombre d'objet modifié :  21 / 78 = 26,92 % </v>
      </c>
      <c r="AE6" s="96" t="s">
        <v>145</v>
      </c>
      <c r="AF6" s="96">
        <f>G43</f>
        <v>37</v>
      </c>
      <c r="AG6" s="97" t="s">
        <v>95</v>
      </c>
      <c r="AH6" s="96">
        <f t="shared" ref="AH6:AI6" si="3">AH5</f>
        <v>78</v>
      </c>
      <c r="AI6" s="96" t="str">
        <f t="shared" si="3"/>
        <v xml:space="preserve"> = </v>
      </c>
      <c r="AJ6" s="96">
        <f>AF6/AH6*10000</f>
        <v>4743.5897435897432</v>
      </c>
      <c r="AK6" s="96">
        <f t="shared" si="0"/>
        <v>4743</v>
      </c>
      <c r="AL6" s="96">
        <f t="shared" si="1"/>
        <v>47.43</v>
      </c>
      <c r="AM6" s="98" t="s">
        <v>96</v>
      </c>
      <c r="AN6" s="98"/>
      <c r="AO6" s="96" t="str">
        <f>AF6&amp;AG6&amp;AH6&amp;AI6&amp;AL6&amp;AM6</f>
        <v xml:space="preserve">37 / 78 = 47,43 % </v>
      </c>
      <c r="AQ6" t="str">
        <f>AE5&amp;AO5</f>
        <v xml:space="preserve">Nombre d'objet tracé : 29 / 78 = 37,17 % </v>
      </c>
    </row>
    <row r="7" spans="2:43" x14ac:dyDescent="0.25">
      <c r="B7" s="58">
        <v>1</v>
      </c>
      <c r="C7" s="41" t="s">
        <v>53</v>
      </c>
      <c r="D7" s="42"/>
      <c r="E7" s="42">
        <v>1</v>
      </c>
      <c r="F7" s="42"/>
      <c r="G7" s="42"/>
      <c r="H7" s="58"/>
      <c r="I7" s="110" t="s">
        <v>174</v>
      </c>
      <c r="J7" s="41"/>
      <c r="K7" s="41"/>
      <c r="L7" s="41"/>
      <c r="M7" s="59"/>
      <c r="N7" s="42"/>
      <c r="O7" s="58"/>
      <c r="P7" s="110"/>
      <c r="Q7" s="41"/>
      <c r="R7" s="41"/>
      <c r="S7" s="41"/>
      <c r="T7" s="59"/>
      <c r="U7" s="42"/>
      <c r="V7" s="42"/>
      <c r="W7" s="42"/>
      <c r="X7" s="42"/>
      <c r="Y7" s="42"/>
      <c r="Z7" s="42"/>
      <c r="AA7" s="42"/>
      <c r="AB7" s="42"/>
      <c r="AC7" s="42"/>
      <c r="AD7" s="119" t="str">
        <f>AQ21</f>
        <v xml:space="preserve">Nombre d'objet tracé : 29 / 78 = 37,17 % </v>
      </c>
      <c r="AQ7" t="str">
        <f>AE6&amp;AO6</f>
        <v xml:space="preserve">Nombre d'objet Découvert ou Modifié : 37 / 78 = 47,43 % </v>
      </c>
    </row>
    <row r="8" spans="2:43" x14ac:dyDescent="0.25">
      <c r="B8" s="58">
        <v>1</v>
      </c>
      <c r="C8" s="108" t="s">
        <v>166</v>
      </c>
      <c r="D8" s="41"/>
      <c r="E8" s="94">
        <v>1</v>
      </c>
      <c r="F8" s="42"/>
      <c r="G8" s="42"/>
      <c r="H8" s="58">
        <v>3</v>
      </c>
      <c r="I8" s="41" t="s">
        <v>317</v>
      </c>
      <c r="J8" s="41"/>
      <c r="K8" s="42">
        <v>3</v>
      </c>
      <c r="L8" s="42"/>
      <c r="M8" s="59"/>
      <c r="N8" s="42"/>
      <c r="O8" s="58"/>
      <c r="P8" s="41"/>
      <c r="Q8" s="41"/>
      <c r="R8" s="42"/>
      <c r="S8" s="42"/>
      <c r="T8" s="59"/>
      <c r="U8" s="42"/>
      <c r="V8" s="42"/>
      <c r="W8" s="42"/>
      <c r="X8" s="42"/>
      <c r="Y8" s="42"/>
      <c r="Z8" s="42"/>
      <c r="AA8" s="42"/>
      <c r="AB8" s="42"/>
      <c r="AC8" s="42"/>
    </row>
    <row r="9" spans="2:43" x14ac:dyDescent="0.25">
      <c r="B9" s="58">
        <v>1</v>
      </c>
      <c r="C9" s="108" t="s">
        <v>165</v>
      </c>
      <c r="D9" s="41"/>
      <c r="E9" s="94">
        <v>1</v>
      </c>
      <c r="F9" s="42"/>
      <c r="G9" s="42"/>
      <c r="H9" s="58">
        <v>1</v>
      </c>
      <c r="I9" s="41" t="s">
        <v>92</v>
      </c>
      <c r="J9" s="41"/>
      <c r="K9" s="42">
        <v>1</v>
      </c>
      <c r="L9" s="42"/>
      <c r="M9" s="59"/>
      <c r="N9" s="42"/>
      <c r="O9" s="58"/>
      <c r="P9" s="41"/>
      <c r="Q9" s="41"/>
      <c r="R9" s="42"/>
      <c r="S9" s="42"/>
      <c r="T9" s="59"/>
      <c r="U9" s="42"/>
      <c r="V9" s="42"/>
      <c r="W9" s="42"/>
      <c r="X9" s="42"/>
      <c r="Y9" s="42"/>
      <c r="Z9" s="42"/>
      <c r="AA9" s="42"/>
      <c r="AB9" s="42"/>
      <c r="AC9" s="42"/>
      <c r="AD9" s="119" t="str">
        <f>AQ2</f>
        <v xml:space="preserve">Nombre d'objet construit : 66 / 78 = 84,61 % </v>
      </c>
      <c r="AQ9" t="s">
        <v>161</v>
      </c>
    </row>
    <row r="10" spans="2:43" x14ac:dyDescent="0.25">
      <c r="B10" s="58"/>
      <c r="C10" s="110" t="s">
        <v>56</v>
      </c>
      <c r="D10" s="42"/>
      <c r="E10" s="42"/>
      <c r="F10" s="42"/>
      <c r="G10" s="42"/>
      <c r="H10" s="58">
        <v>1</v>
      </c>
      <c r="I10" s="41" t="s">
        <v>141</v>
      </c>
      <c r="J10" s="41"/>
      <c r="K10" s="42">
        <v>1</v>
      </c>
      <c r="L10" s="42"/>
      <c r="M10" s="59"/>
      <c r="N10" s="42"/>
      <c r="O10" s="58"/>
      <c r="P10" s="41"/>
      <c r="Q10" s="41"/>
      <c r="R10" s="42"/>
      <c r="S10" s="42"/>
      <c r="T10" s="59"/>
      <c r="U10" s="42"/>
      <c r="V10" s="42"/>
      <c r="W10" s="42"/>
      <c r="X10" s="42"/>
      <c r="Y10" s="42"/>
      <c r="Z10" s="42"/>
      <c r="AA10" s="42"/>
      <c r="AB10" s="42"/>
      <c r="AC10" s="42"/>
      <c r="AD10" s="119" t="str">
        <f>AQ7</f>
        <v xml:space="preserve">Nombre d'objet Découvert ou Modifié : 37 / 78 = 47,43 % </v>
      </c>
    </row>
    <row r="11" spans="2:43" x14ac:dyDescent="0.25">
      <c r="B11" s="58">
        <v>1</v>
      </c>
      <c r="C11" s="41" t="s">
        <v>46</v>
      </c>
      <c r="D11" s="42">
        <v>4</v>
      </c>
      <c r="E11" s="42">
        <v>1</v>
      </c>
      <c r="F11" s="42"/>
      <c r="G11" s="42"/>
      <c r="H11" s="58">
        <v>1</v>
      </c>
      <c r="I11" s="41" t="s">
        <v>93</v>
      </c>
      <c r="J11" s="41"/>
      <c r="K11" s="42"/>
      <c r="L11" s="42">
        <v>1</v>
      </c>
      <c r="M11" s="59"/>
      <c r="N11" s="42"/>
      <c r="O11" s="58"/>
      <c r="P11" s="41"/>
      <c r="Q11" s="41"/>
      <c r="R11" s="42"/>
      <c r="S11" s="42"/>
      <c r="T11" s="59"/>
      <c r="U11" s="42"/>
      <c r="V11" s="42"/>
      <c r="W11" s="42"/>
      <c r="X11" s="42"/>
      <c r="Y11" s="42"/>
      <c r="Z11" s="42"/>
      <c r="AA11" s="42"/>
      <c r="AB11" s="42"/>
      <c r="AC11" s="42"/>
      <c r="AD11" s="117"/>
    </row>
    <row r="12" spans="2:43" x14ac:dyDescent="0.25">
      <c r="B12" s="58">
        <v>1</v>
      </c>
      <c r="C12" s="41" t="s">
        <v>47</v>
      </c>
      <c r="D12" s="42">
        <v>4</v>
      </c>
      <c r="E12" s="42">
        <v>1</v>
      </c>
      <c r="F12" s="42"/>
      <c r="G12" s="42"/>
      <c r="H12" s="58">
        <v>2</v>
      </c>
      <c r="I12" s="108" t="s">
        <v>170</v>
      </c>
      <c r="J12" s="41"/>
      <c r="K12" s="41"/>
      <c r="L12" s="42">
        <v>2</v>
      </c>
      <c r="M12" s="59"/>
      <c r="N12" s="42"/>
      <c r="O12" s="58"/>
      <c r="P12" s="108"/>
      <c r="Q12" s="41"/>
      <c r="R12" s="41"/>
      <c r="S12" s="42"/>
      <c r="T12" s="59"/>
      <c r="U12" s="42"/>
      <c r="V12" s="42"/>
      <c r="W12" s="42"/>
      <c r="X12" s="42"/>
      <c r="Y12" s="42"/>
      <c r="Z12" s="42"/>
      <c r="AA12" s="42"/>
      <c r="AB12" s="42"/>
      <c r="AC12" s="42"/>
      <c r="AD12" s="119" t="s">
        <v>234</v>
      </c>
    </row>
    <row r="13" spans="2:43" x14ac:dyDescent="0.25">
      <c r="B13" s="58">
        <v>1</v>
      </c>
      <c r="C13" s="41" t="s">
        <v>48</v>
      </c>
      <c r="D13" s="42">
        <v>4</v>
      </c>
      <c r="E13" s="42">
        <v>1</v>
      </c>
      <c r="F13" s="42"/>
      <c r="G13" s="42"/>
      <c r="H13" s="58">
        <v>1</v>
      </c>
      <c r="I13" s="108" t="s">
        <v>167</v>
      </c>
      <c r="J13" s="41"/>
      <c r="K13" s="41"/>
      <c r="L13" s="42">
        <v>1</v>
      </c>
      <c r="M13" s="59"/>
      <c r="N13" s="42"/>
      <c r="O13" s="58"/>
      <c r="P13" s="108"/>
      <c r="Q13" s="41"/>
      <c r="R13" s="41"/>
      <c r="S13" s="42"/>
      <c r="T13" s="59"/>
      <c r="U13" s="42"/>
      <c r="V13" s="42"/>
      <c r="W13" s="42"/>
      <c r="X13" s="42"/>
      <c r="Y13" s="42"/>
      <c r="Z13" s="42"/>
      <c r="AA13" s="42"/>
      <c r="AB13" s="42"/>
      <c r="AC13" s="42"/>
      <c r="AD13" s="119" t="s">
        <v>237</v>
      </c>
    </row>
    <row r="14" spans="2:43" x14ac:dyDescent="0.25">
      <c r="B14" s="58">
        <v>1</v>
      </c>
      <c r="C14" s="41" t="s">
        <v>49</v>
      </c>
      <c r="D14" s="42">
        <v>3</v>
      </c>
      <c r="E14" s="42">
        <v>1</v>
      </c>
      <c r="F14" s="42"/>
      <c r="G14" s="42"/>
      <c r="H14" s="58">
        <v>3</v>
      </c>
      <c r="I14" s="108" t="s">
        <v>168</v>
      </c>
      <c r="J14" s="41"/>
      <c r="K14" s="41"/>
      <c r="L14" s="42">
        <v>3</v>
      </c>
      <c r="M14" s="59"/>
      <c r="N14" s="42"/>
      <c r="O14" s="58"/>
      <c r="P14" s="108"/>
      <c r="Q14" s="41"/>
      <c r="R14" s="41"/>
      <c r="S14" s="42"/>
      <c r="T14" s="59"/>
      <c r="U14" s="42"/>
      <c r="V14" s="42"/>
      <c r="W14" s="42"/>
      <c r="X14" s="42"/>
      <c r="Y14" s="42"/>
      <c r="Z14" s="42"/>
      <c r="AA14" s="42"/>
      <c r="AB14" s="42"/>
      <c r="AC14" s="42"/>
      <c r="AD14" s="119" t="s">
        <v>224</v>
      </c>
    </row>
    <row r="15" spans="2:43" x14ac:dyDescent="0.25">
      <c r="B15" s="58">
        <v>1</v>
      </c>
      <c r="C15" s="41" t="s">
        <v>50</v>
      </c>
      <c r="D15" s="42">
        <v>3</v>
      </c>
      <c r="E15" s="42">
        <v>1</v>
      </c>
      <c r="F15" s="42"/>
      <c r="G15" s="42"/>
      <c r="H15" s="58">
        <v>1</v>
      </c>
      <c r="I15" s="108" t="s">
        <v>169</v>
      </c>
      <c r="J15" s="41"/>
      <c r="K15" s="41"/>
      <c r="L15" s="42">
        <v>1</v>
      </c>
      <c r="M15" s="59"/>
      <c r="N15" s="42"/>
      <c r="O15" s="58"/>
      <c r="P15" s="108"/>
      <c r="Q15" s="41"/>
      <c r="R15" s="41"/>
      <c r="S15" s="42"/>
      <c r="T15" s="59"/>
      <c r="U15" s="42"/>
      <c r="V15" s="42"/>
      <c r="W15" s="42"/>
      <c r="X15" s="42"/>
      <c r="Y15" s="42"/>
      <c r="Z15" s="42"/>
      <c r="AA15" s="42"/>
      <c r="AB15" s="42"/>
      <c r="AC15" s="42"/>
      <c r="AD15" t="s">
        <v>244</v>
      </c>
    </row>
    <row r="16" spans="2:43" x14ac:dyDescent="0.25">
      <c r="B16" s="58">
        <v>1</v>
      </c>
      <c r="C16" s="41" t="s">
        <v>51</v>
      </c>
      <c r="D16" s="42">
        <v>3</v>
      </c>
      <c r="E16" s="42">
        <v>1</v>
      </c>
      <c r="F16" s="42"/>
      <c r="G16" s="42"/>
      <c r="H16" s="58">
        <v>1</v>
      </c>
      <c r="I16" s="108" t="s">
        <v>243</v>
      </c>
      <c r="J16" s="41"/>
      <c r="K16" s="41"/>
      <c r="L16" s="42">
        <v>1</v>
      </c>
      <c r="M16" s="59"/>
      <c r="N16" s="42"/>
      <c r="O16" s="58"/>
      <c r="P16" s="41"/>
      <c r="Q16" s="41"/>
      <c r="R16" s="41"/>
      <c r="S16" s="42"/>
      <c r="T16" s="59"/>
      <c r="U16" s="42"/>
      <c r="V16" s="42"/>
      <c r="W16" s="42"/>
      <c r="X16" s="42"/>
      <c r="Y16" s="42"/>
      <c r="Z16" s="42"/>
      <c r="AA16" s="42"/>
      <c r="AB16" s="42"/>
      <c r="AC16" s="42"/>
      <c r="AD16" t="s">
        <v>232</v>
      </c>
      <c r="AQ16" s="61" t="str">
        <f>AQ9&amp;AO2</f>
        <v xml:space="preserve">Nombre d'objet construit  : 66 / 78 = 84,61 % </v>
      </c>
    </row>
    <row r="17" spans="2:43" x14ac:dyDescent="0.25">
      <c r="B17" s="58">
        <v>1</v>
      </c>
      <c r="C17" s="41" t="s">
        <v>52</v>
      </c>
      <c r="D17" s="42">
        <v>3</v>
      </c>
      <c r="E17" s="42">
        <v>1</v>
      </c>
      <c r="F17" s="42"/>
      <c r="G17" s="42"/>
      <c r="H17" s="58">
        <v>3</v>
      </c>
      <c r="I17" s="108" t="s">
        <v>185</v>
      </c>
      <c r="J17" s="41"/>
      <c r="K17" s="41"/>
      <c r="L17" s="42">
        <v>3</v>
      </c>
      <c r="M17" s="59"/>
      <c r="N17" s="42"/>
      <c r="O17" s="58"/>
      <c r="P17" s="41"/>
      <c r="Q17" s="41"/>
      <c r="R17" s="41"/>
      <c r="S17" s="42"/>
      <c r="T17" s="59"/>
      <c r="U17" s="42"/>
      <c r="V17" s="42"/>
      <c r="W17" s="42"/>
      <c r="X17" s="42"/>
      <c r="Y17" s="42"/>
      <c r="Z17" s="42"/>
      <c r="AA17" s="42"/>
      <c r="AB17" s="42"/>
      <c r="AC17" s="42"/>
      <c r="AQ17" t="str">
        <f>AQ7</f>
        <v xml:space="preserve">Nombre d'objet Découvert ou Modifié : 37 / 78 = 47,43 % </v>
      </c>
    </row>
    <row r="18" spans="2:43" x14ac:dyDescent="0.25">
      <c r="B18" s="58">
        <v>1</v>
      </c>
      <c r="C18" s="41" t="s">
        <v>55</v>
      </c>
      <c r="D18" s="42">
        <v>4</v>
      </c>
      <c r="E18" s="42">
        <v>1</v>
      </c>
      <c r="F18" s="42"/>
      <c r="G18" s="42"/>
      <c r="H18" s="92">
        <v>3</v>
      </c>
      <c r="I18" s="108" t="s">
        <v>240</v>
      </c>
      <c r="J18" s="3"/>
      <c r="K18" s="3"/>
      <c r="L18" s="3"/>
      <c r="M18" s="124"/>
      <c r="O18" s="58"/>
      <c r="P18" s="41"/>
      <c r="Q18" s="41"/>
      <c r="R18" s="42"/>
      <c r="S18" s="42"/>
      <c r="T18" s="100"/>
      <c r="U18" s="94"/>
      <c r="V18" s="94"/>
      <c r="W18" s="94"/>
      <c r="X18" s="94"/>
      <c r="Y18" s="94"/>
      <c r="Z18" s="94"/>
      <c r="AA18" s="94"/>
      <c r="AB18" s="94"/>
      <c r="AC18" s="94"/>
      <c r="AD18" s="119" t="s">
        <v>227</v>
      </c>
      <c r="AE18" t="str">
        <f>AD18</f>
        <v>Nombre d'idée annuelle en mathématiques</v>
      </c>
    </row>
    <row r="19" spans="2:43" x14ac:dyDescent="0.25">
      <c r="B19" s="58"/>
      <c r="C19" s="110" t="s">
        <v>164</v>
      </c>
      <c r="D19" s="42">
        <v>4</v>
      </c>
      <c r="E19" s="42">
        <v>1</v>
      </c>
      <c r="F19" s="42"/>
      <c r="G19" s="42"/>
      <c r="H19" s="92"/>
      <c r="I19" s="110" t="s">
        <v>175</v>
      </c>
      <c r="J19" s="41"/>
      <c r="K19" s="42">
        <v>1</v>
      </c>
      <c r="L19" s="42"/>
      <c r="M19" s="100"/>
      <c r="N19" s="94"/>
      <c r="O19" s="58"/>
      <c r="P19" s="41"/>
      <c r="Q19" s="41"/>
      <c r="R19" s="42"/>
      <c r="S19" s="42"/>
      <c r="T19" s="59"/>
      <c r="U19" s="42"/>
      <c r="V19" s="42"/>
      <c r="W19" s="42"/>
      <c r="X19" s="42"/>
      <c r="Y19" s="42"/>
      <c r="Z19" s="42"/>
      <c r="AA19" s="42"/>
      <c r="AB19" s="42">
        <v>23</v>
      </c>
      <c r="AC19" s="42" t="s">
        <v>407</v>
      </c>
      <c r="AD19" s="119" t="s">
        <v>409</v>
      </c>
      <c r="AE19" t="str">
        <f>AD19&amp;AB19&amp;AC19</f>
        <v xml:space="preserve"> Mathématique annuelle :  23 Années</v>
      </c>
      <c r="AQ19" s="61" t="str">
        <f>AQ4</f>
        <v xml:space="preserve">Nombre d'objet découvert : 16 / 78 = 20,51 % </v>
      </c>
    </row>
    <row r="20" spans="2:43" x14ac:dyDescent="0.25">
      <c r="B20" s="58">
        <v>1</v>
      </c>
      <c r="C20" s="41" t="s">
        <v>57</v>
      </c>
      <c r="D20" s="42">
        <v>5</v>
      </c>
      <c r="E20" s="42"/>
      <c r="F20" s="42">
        <v>1</v>
      </c>
      <c r="G20" s="42"/>
      <c r="H20" s="58">
        <v>1</v>
      </c>
      <c r="I20" s="41" t="s">
        <v>79</v>
      </c>
      <c r="J20" s="41"/>
      <c r="K20" s="42">
        <v>1</v>
      </c>
      <c r="L20" s="42"/>
      <c r="M20" s="59"/>
      <c r="N20" s="42"/>
      <c r="O20" s="58"/>
      <c r="P20" s="108"/>
      <c r="Q20" s="41"/>
      <c r="R20" s="42"/>
      <c r="S20" s="42"/>
      <c r="T20" s="59"/>
      <c r="U20" s="42"/>
      <c r="V20" s="42"/>
      <c r="W20" s="42"/>
      <c r="X20" s="42"/>
      <c r="Y20" s="42"/>
      <c r="Z20" s="42"/>
      <c r="AA20" s="42"/>
      <c r="AB20" s="42">
        <v>3</v>
      </c>
      <c r="AC20" s="42" t="s">
        <v>406</v>
      </c>
      <c r="AD20" s="119" t="s">
        <v>408</v>
      </c>
      <c r="AE20" t="str">
        <f>AB20&amp;AC20&amp;AD20</f>
        <v>3 Ans de mathématiques  semi professionnelle</v>
      </c>
      <c r="AQ20" s="61" t="str">
        <f>AQ5</f>
        <v xml:space="preserve">Nombre d'objet modifié :  21 / 78 = 26,92 % </v>
      </c>
    </row>
    <row r="21" spans="2:43" x14ac:dyDescent="0.25">
      <c r="B21" s="58">
        <v>1</v>
      </c>
      <c r="C21" s="41" t="s">
        <v>58</v>
      </c>
      <c r="D21" s="42">
        <v>6</v>
      </c>
      <c r="E21" s="42">
        <v>1</v>
      </c>
      <c r="F21" s="42"/>
      <c r="G21" s="42"/>
      <c r="H21" s="58">
        <v>1</v>
      </c>
      <c r="I21" s="41" t="s">
        <v>80</v>
      </c>
      <c r="J21" s="41"/>
      <c r="K21" s="42">
        <v>1</v>
      </c>
      <c r="L21" s="42"/>
      <c r="M21" s="59"/>
      <c r="N21" s="42"/>
      <c r="O21" s="92"/>
      <c r="P21" s="3"/>
      <c r="Q21" s="41"/>
      <c r="R21" s="42"/>
      <c r="S21" s="42"/>
      <c r="T21" s="59"/>
      <c r="U21" s="42"/>
      <c r="V21" s="42"/>
      <c r="W21" s="42"/>
      <c r="X21" s="42"/>
      <c r="Y21" s="42"/>
      <c r="Z21" s="42"/>
      <c r="AA21" s="42"/>
      <c r="AB21" s="42">
        <v>7</v>
      </c>
      <c r="AC21" s="42" t="s">
        <v>407</v>
      </c>
      <c r="AD21" s="119" t="s">
        <v>410</v>
      </c>
      <c r="AE21" t="str">
        <f>AB21&amp;AC21&amp;AD21</f>
        <v>7 Annéesde formules modifiés</v>
      </c>
      <c r="AQ21" s="61" t="str">
        <f>AQ6</f>
        <v xml:space="preserve">Nombre d'objet tracé : 29 / 78 = 37,17 % </v>
      </c>
    </row>
    <row r="22" spans="2:43" x14ac:dyDescent="0.25">
      <c r="B22" s="58">
        <v>1</v>
      </c>
      <c r="C22" s="41" t="s">
        <v>59</v>
      </c>
      <c r="D22" s="42">
        <v>8</v>
      </c>
      <c r="E22" s="42">
        <v>1</v>
      </c>
      <c r="F22" s="42"/>
      <c r="G22" s="42"/>
      <c r="H22" s="58">
        <v>1</v>
      </c>
      <c r="I22" s="41" t="s">
        <v>81</v>
      </c>
      <c r="J22" s="41"/>
      <c r="K22" s="42"/>
      <c r="L22" s="42"/>
      <c r="M22" s="59"/>
      <c r="N22" s="42"/>
      <c r="O22" s="92"/>
      <c r="P22" s="3"/>
      <c r="Q22" s="108"/>
      <c r="R22" s="42"/>
      <c r="S22" s="42"/>
      <c r="T22" s="59"/>
      <c r="U22" s="42"/>
      <c r="V22" s="42"/>
      <c r="W22" s="42"/>
      <c r="X22" s="42"/>
      <c r="Y22" s="42"/>
      <c r="Z22" s="42"/>
      <c r="AA22" s="42"/>
      <c r="AB22" s="42">
        <v>6</v>
      </c>
      <c r="AC22" s="42" t="s">
        <v>407</v>
      </c>
      <c r="AD22" s="119" t="s">
        <v>411</v>
      </c>
      <c r="AE22" t="str">
        <f>AB22&amp;AC22&amp;AD22</f>
        <v>6 Annéesde formules découvertes</v>
      </c>
    </row>
    <row r="23" spans="2:43" x14ac:dyDescent="0.25">
      <c r="B23" s="58">
        <v>1</v>
      </c>
      <c r="C23" s="41" t="s">
        <v>60</v>
      </c>
      <c r="D23" s="42">
        <v>10</v>
      </c>
      <c r="E23" s="42"/>
      <c r="F23" s="42"/>
      <c r="G23" s="42">
        <v>1</v>
      </c>
      <c r="H23" s="58">
        <v>1</v>
      </c>
      <c r="I23" s="41" t="s">
        <v>82</v>
      </c>
      <c r="J23" s="108"/>
      <c r="K23" s="42"/>
      <c r="L23" s="42"/>
      <c r="M23" s="59"/>
      <c r="N23" s="42"/>
      <c r="O23" s="92"/>
      <c r="P23" s="3"/>
      <c r="Q23" s="3"/>
      <c r="R23" s="3"/>
      <c r="S23" s="3"/>
      <c r="T23" s="93"/>
      <c r="U23" s="4"/>
      <c r="V23" s="290"/>
      <c r="W23" s="290"/>
      <c r="X23" s="290"/>
      <c r="Y23" s="290"/>
      <c r="Z23" s="290"/>
      <c r="AA23" s="290"/>
      <c r="AB23" s="290"/>
      <c r="AC23" s="290"/>
      <c r="AD23" s="117" t="s">
        <v>228</v>
      </c>
    </row>
    <row r="24" spans="2:43" x14ac:dyDescent="0.25">
      <c r="B24" s="58">
        <v>1</v>
      </c>
      <c r="C24" s="41" t="s">
        <v>61</v>
      </c>
      <c r="D24" s="42">
        <v>12</v>
      </c>
      <c r="E24" s="42"/>
      <c r="F24" s="42"/>
      <c r="G24" s="94">
        <v>1</v>
      </c>
      <c r="H24" s="92"/>
      <c r="I24" s="110" t="s">
        <v>157</v>
      </c>
      <c r="J24" s="3"/>
      <c r="K24" s="3"/>
      <c r="L24" s="3"/>
      <c r="M24" s="93"/>
      <c r="N24" s="4"/>
      <c r="O24" s="92"/>
      <c r="P24" s="3"/>
      <c r="Q24" s="41"/>
      <c r="R24" s="42"/>
      <c r="S24" s="42"/>
      <c r="T24" s="59"/>
      <c r="U24" s="42"/>
      <c r="V24" s="42"/>
      <c r="W24" s="42"/>
      <c r="X24" s="42"/>
      <c r="Y24" s="42"/>
      <c r="Z24" s="42"/>
      <c r="AA24" s="42"/>
      <c r="AB24" s="42"/>
      <c r="AC24" s="42"/>
      <c r="AD24" s="117" t="s">
        <v>229</v>
      </c>
    </row>
    <row r="25" spans="2:43" x14ac:dyDescent="0.25">
      <c r="B25" s="58">
        <v>1</v>
      </c>
      <c r="C25" s="41" t="s">
        <v>62</v>
      </c>
      <c r="D25" s="42">
        <v>15</v>
      </c>
      <c r="E25" s="42"/>
      <c r="F25" s="42"/>
      <c r="G25" s="94">
        <v>1</v>
      </c>
      <c r="H25" s="58">
        <v>1</v>
      </c>
      <c r="I25" s="41" t="s">
        <v>94</v>
      </c>
      <c r="J25" s="41"/>
      <c r="K25" s="42"/>
      <c r="L25" s="42"/>
      <c r="M25" s="59"/>
      <c r="N25" s="42"/>
      <c r="O25" s="58"/>
      <c r="P25" s="41"/>
      <c r="Q25" s="41"/>
      <c r="R25" s="42"/>
      <c r="S25" s="42"/>
      <c r="T25" s="59"/>
      <c r="U25" s="42"/>
      <c r="V25" s="42"/>
      <c r="W25" s="42"/>
      <c r="X25" s="42"/>
      <c r="Y25" s="42"/>
      <c r="Z25" s="42"/>
      <c r="AA25" s="42"/>
      <c r="AB25" s="42"/>
      <c r="AC25" s="42"/>
      <c r="AD25" t="s">
        <v>235</v>
      </c>
    </row>
    <row r="26" spans="2:43" x14ac:dyDescent="0.25">
      <c r="B26" s="58">
        <v>1</v>
      </c>
      <c r="C26" s="41" t="s">
        <v>63</v>
      </c>
      <c r="D26" s="42">
        <v>16</v>
      </c>
      <c r="E26" s="42"/>
      <c r="F26" s="42"/>
      <c r="G26" s="94">
        <v>1</v>
      </c>
      <c r="H26" s="58">
        <v>1</v>
      </c>
      <c r="I26" s="41" t="s">
        <v>83</v>
      </c>
      <c r="J26" s="41"/>
      <c r="K26" s="42"/>
      <c r="L26" s="42"/>
      <c r="M26" s="59"/>
      <c r="N26" s="42"/>
      <c r="O26" s="58"/>
      <c r="P26" s="41"/>
      <c r="Q26" s="41"/>
      <c r="R26" s="42"/>
      <c r="S26" s="42"/>
      <c r="T26" s="100"/>
      <c r="U26" s="94"/>
      <c r="V26" s="94"/>
      <c r="W26" s="94"/>
      <c r="X26" s="94"/>
      <c r="Y26" s="94"/>
      <c r="Z26" s="94"/>
      <c r="AA26" s="94"/>
      <c r="AB26" s="94"/>
      <c r="AC26" s="94"/>
    </row>
    <row r="27" spans="2:43" x14ac:dyDescent="0.25">
      <c r="B27" s="58">
        <v>1</v>
      </c>
      <c r="C27" s="41" t="s">
        <v>64</v>
      </c>
      <c r="D27" s="42">
        <v>18</v>
      </c>
      <c r="E27" s="42"/>
      <c r="F27" s="42"/>
      <c r="G27" s="94">
        <v>1</v>
      </c>
      <c r="H27" s="58">
        <v>2</v>
      </c>
      <c r="I27" s="108" t="s">
        <v>159</v>
      </c>
      <c r="J27" s="41"/>
      <c r="K27" s="42"/>
      <c r="L27" s="42"/>
      <c r="M27" s="100">
        <v>1</v>
      </c>
      <c r="N27" s="94"/>
      <c r="O27" s="58"/>
      <c r="P27" s="110"/>
      <c r="Q27" s="108"/>
      <c r="R27" s="42"/>
      <c r="S27" s="42"/>
      <c r="T27" s="59"/>
      <c r="U27" s="42"/>
      <c r="V27" s="42"/>
      <c r="W27" s="42"/>
      <c r="X27" s="42"/>
      <c r="Y27" s="42"/>
      <c r="Z27" s="42"/>
      <c r="AA27" s="42"/>
      <c r="AB27" s="42"/>
      <c r="AC27" s="42"/>
    </row>
    <row r="28" spans="2:43" x14ac:dyDescent="0.25">
      <c r="B28" s="58"/>
      <c r="C28" s="110" t="s">
        <v>242</v>
      </c>
      <c r="D28" s="41"/>
      <c r="E28" s="42"/>
      <c r="F28" s="42"/>
      <c r="G28" s="42"/>
      <c r="H28" s="58">
        <v>1</v>
      </c>
      <c r="I28" s="108" t="s">
        <v>160</v>
      </c>
      <c r="J28" s="108"/>
      <c r="K28" s="42"/>
      <c r="L28" s="42"/>
      <c r="M28" s="59"/>
      <c r="N28" s="42"/>
      <c r="O28" s="58"/>
      <c r="P28" s="41"/>
      <c r="Q28" s="41"/>
      <c r="R28" s="42"/>
      <c r="S28" s="42"/>
      <c r="T28" s="59"/>
      <c r="U28" s="42"/>
      <c r="V28" s="42"/>
      <c r="W28" s="42"/>
      <c r="X28" s="42"/>
      <c r="Y28" s="42"/>
      <c r="Z28" s="42"/>
      <c r="AA28" s="42"/>
      <c r="AB28" s="42"/>
      <c r="AC28" s="42"/>
    </row>
    <row r="29" spans="2:43" x14ac:dyDescent="0.25">
      <c r="B29" s="58">
        <v>1</v>
      </c>
      <c r="C29" s="41" t="s">
        <v>162</v>
      </c>
      <c r="D29" s="94"/>
      <c r="E29" s="42"/>
      <c r="F29" s="42">
        <v>1</v>
      </c>
      <c r="G29" s="111"/>
      <c r="H29" s="58">
        <v>1</v>
      </c>
      <c r="I29" s="41" t="s">
        <v>78</v>
      </c>
      <c r="J29" s="41"/>
      <c r="K29" s="42">
        <v>1</v>
      </c>
      <c r="L29" s="42"/>
      <c r="M29" s="59"/>
      <c r="N29" s="42"/>
      <c r="O29" s="58"/>
      <c r="P29" s="41"/>
      <c r="Q29" s="41"/>
      <c r="R29" s="42"/>
      <c r="S29" s="42"/>
      <c r="T29" s="59"/>
      <c r="U29" s="42"/>
      <c r="V29" s="42"/>
      <c r="W29" s="42"/>
      <c r="X29" s="42"/>
      <c r="Y29" s="42"/>
      <c r="Z29" s="42"/>
      <c r="AA29" s="42"/>
      <c r="AB29" s="42"/>
      <c r="AC29" s="42"/>
    </row>
    <row r="30" spans="2:43" x14ac:dyDescent="0.25">
      <c r="B30" s="58">
        <v>2</v>
      </c>
      <c r="C30" s="41" t="s">
        <v>65</v>
      </c>
      <c r="D30" s="94">
        <v>1</v>
      </c>
      <c r="E30" s="42"/>
      <c r="F30" s="42">
        <v>1</v>
      </c>
      <c r="G30" s="42">
        <v>1</v>
      </c>
      <c r="H30" s="58">
        <v>1</v>
      </c>
      <c r="I30" s="41" t="s">
        <v>70</v>
      </c>
      <c r="J30" s="41"/>
      <c r="K30" s="42">
        <v>1</v>
      </c>
      <c r="L30" s="42"/>
      <c r="M30" s="59"/>
      <c r="N30" s="42"/>
      <c r="O30" s="58"/>
      <c r="P30" s="108"/>
      <c r="Q30" s="108"/>
      <c r="R30" s="42"/>
      <c r="S30" s="42"/>
      <c r="T30" s="59"/>
      <c r="U30" s="42"/>
      <c r="V30" s="42"/>
      <c r="W30" s="42"/>
      <c r="X30" s="42"/>
      <c r="Y30" s="42"/>
      <c r="Z30" s="42"/>
      <c r="AA30" s="42"/>
      <c r="AB30" s="42"/>
      <c r="AC30" s="42"/>
    </row>
    <row r="31" spans="2:43" x14ac:dyDescent="0.25">
      <c r="B31" s="58">
        <v>1</v>
      </c>
      <c r="C31" s="41" t="s">
        <v>66</v>
      </c>
      <c r="D31" s="94">
        <v>360</v>
      </c>
      <c r="E31" s="42"/>
      <c r="F31" s="42">
        <v>1</v>
      </c>
      <c r="G31" s="42">
        <v>1</v>
      </c>
      <c r="H31" s="58">
        <v>1</v>
      </c>
      <c r="I31" s="41" t="s">
        <v>71</v>
      </c>
      <c r="J31" s="108"/>
      <c r="K31" s="42"/>
      <c r="L31" s="42">
        <v>1</v>
      </c>
      <c r="M31" s="59"/>
      <c r="N31" s="42"/>
      <c r="O31" s="58"/>
      <c r="P31" s="108"/>
      <c r="Q31" s="108"/>
      <c r="R31" s="42"/>
      <c r="S31" s="42"/>
      <c r="T31" s="59"/>
      <c r="U31" s="42"/>
      <c r="V31" s="42"/>
      <c r="W31" s="42"/>
      <c r="X31" s="42"/>
      <c r="Y31" s="42"/>
      <c r="Z31" s="42"/>
      <c r="AA31" s="42"/>
      <c r="AB31" s="42"/>
      <c r="AC31" s="42"/>
    </row>
    <row r="32" spans="2:43" x14ac:dyDescent="0.25">
      <c r="B32" s="58">
        <v>1</v>
      </c>
      <c r="C32" s="41" t="s">
        <v>68</v>
      </c>
      <c r="D32" s="42">
        <v>9</v>
      </c>
      <c r="E32" s="42"/>
      <c r="F32" s="42">
        <v>1</v>
      </c>
      <c r="G32" s="42"/>
      <c r="H32" s="92"/>
      <c r="I32" s="3"/>
      <c r="J32" s="108"/>
      <c r="K32" s="42"/>
      <c r="L32" s="42">
        <v>1</v>
      </c>
      <c r="M32" s="59"/>
      <c r="N32" s="42"/>
      <c r="O32" s="58"/>
      <c r="P32" s="41"/>
      <c r="Q32" s="41"/>
      <c r="R32" s="42"/>
      <c r="S32" s="42"/>
      <c r="T32" s="59"/>
      <c r="U32" s="42"/>
      <c r="V32" s="42"/>
      <c r="W32" s="42"/>
      <c r="X32" s="42"/>
      <c r="Y32" s="42"/>
      <c r="Z32" s="42"/>
      <c r="AA32" s="42"/>
      <c r="AB32" s="42"/>
      <c r="AC32" s="42"/>
      <c r="AD32" s="117"/>
    </row>
    <row r="33" spans="2:30" x14ac:dyDescent="0.25">
      <c r="B33" s="58">
        <v>1</v>
      </c>
      <c r="C33" s="41" t="s">
        <v>67</v>
      </c>
      <c r="D33" s="42">
        <v>20</v>
      </c>
      <c r="E33" s="42"/>
      <c r="F33" s="42">
        <v>1</v>
      </c>
      <c r="G33" s="94"/>
      <c r="H33" s="58">
        <v>1</v>
      </c>
      <c r="I33" s="41" t="s">
        <v>75</v>
      </c>
      <c r="J33" s="41"/>
      <c r="K33" s="42"/>
      <c r="L33" s="42"/>
      <c r="M33" s="59"/>
      <c r="N33" s="42"/>
      <c r="O33" s="58"/>
      <c r="P33" s="110"/>
      <c r="Q33" s="108"/>
      <c r="R33" s="42"/>
      <c r="S33" s="42"/>
      <c r="T33" s="59"/>
      <c r="U33" s="42"/>
      <c r="V33" s="42"/>
      <c r="W33" s="42"/>
      <c r="X33" s="42"/>
      <c r="Y33" s="42"/>
      <c r="Z33" s="42"/>
      <c r="AA33" s="42"/>
      <c r="AB33" s="42"/>
      <c r="AC33" s="42"/>
      <c r="AD33" s="117"/>
    </row>
    <row r="34" spans="2:30" x14ac:dyDescent="0.25">
      <c r="B34" s="58">
        <v>1</v>
      </c>
      <c r="C34" s="41" t="s">
        <v>239</v>
      </c>
      <c r="D34" s="42"/>
      <c r="E34" s="42">
        <v>1</v>
      </c>
      <c r="F34" s="42"/>
      <c r="G34" s="42"/>
      <c r="H34" s="58"/>
      <c r="I34" s="110" t="s">
        <v>158</v>
      </c>
      <c r="J34" s="108"/>
      <c r="K34" s="42"/>
      <c r="L34" s="42"/>
      <c r="M34" s="59"/>
      <c r="N34" s="42"/>
      <c r="O34" s="58"/>
      <c r="P34" s="41"/>
      <c r="Q34" s="41"/>
      <c r="R34" s="42"/>
      <c r="S34" s="42"/>
      <c r="T34" s="100"/>
      <c r="U34" s="94"/>
      <c r="V34" s="94"/>
      <c r="W34" s="94"/>
      <c r="X34" s="94"/>
      <c r="Y34" s="94"/>
      <c r="Z34" s="94"/>
      <c r="AA34" s="94"/>
      <c r="AB34" s="94"/>
      <c r="AC34" s="94"/>
      <c r="AD34" s="120"/>
    </row>
    <row r="35" spans="2:30" x14ac:dyDescent="0.25">
      <c r="B35" s="58">
        <v>1</v>
      </c>
      <c r="C35" s="41" t="s">
        <v>238</v>
      </c>
      <c r="D35" s="42"/>
      <c r="E35" s="42"/>
      <c r="F35" s="42"/>
      <c r="G35" s="42">
        <v>1</v>
      </c>
      <c r="H35" s="58">
        <v>1</v>
      </c>
      <c r="I35" s="41" t="s">
        <v>76</v>
      </c>
      <c r="J35" s="41"/>
      <c r="K35" s="42"/>
      <c r="L35" s="42"/>
      <c r="M35" s="100"/>
      <c r="N35" s="94"/>
      <c r="O35" s="58"/>
      <c r="P35" s="41"/>
      <c r="Q35" s="41"/>
      <c r="R35" s="42"/>
      <c r="S35" s="42"/>
      <c r="T35" s="100"/>
      <c r="U35" s="94"/>
      <c r="V35" s="94"/>
      <c r="W35" s="94"/>
      <c r="X35" s="94"/>
      <c r="Y35" s="94"/>
      <c r="Z35" s="94"/>
      <c r="AA35" s="94"/>
      <c r="AB35" s="94"/>
      <c r="AC35" s="94"/>
      <c r="AD35" s="120"/>
    </row>
    <row r="36" spans="2:30" x14ac:dyDescent="0.25">
      <c r="B36" s="58">
        <v>1</v>
      </c>
      <c r="C36" s="41" t="s">
        <v>187</v>
      </c>
      <c r="D36" s="42"/>
      <c r="E36" s="42">
        <v>1</v>
      </c>
      <c r="F36" s="42"/>
      <c r="G36" s="94"/>
      <c r="H36" s="58">
        <v>1</v>
      </c>
      <c r="I36" s="41" t="s">
        <v>77</v>
      </c>
      <c r="J36" s="41"/>
      <c r="K36" s="42"/>
      <c r="L36" s="42"/>
      <c r="M36" s="100"/>
      <c r="N36" s="94"/>
      <c r="O36" s="58"/>
      <c r="P36" s="41"/>
      <c r="Q36" s="41"/>
      <c r="R36" s="42"/>
      <c r="S36" s="42"/>
      <c r="T36" s="100"/>
      <c r="U36" s="94"/>
      <c r="V36" s="94"/>
      <c r="W36" s="94"/>
      <c r="X36" s="94"/>
      <c r="Y36" s="94"/>
      <c r="Z36" s="94"/>
      <c r="AA36" s="94"/>
      <c r="AB36" s="94"/>
      <c r="AC36" s="94"/>
      <c r="AD36" s="120"/>
    </row>
    <row r="37" spans="2:30" x14ac:dyDescent="0.25">
      <c r="B37" s="58">
        <v>1</v>
      </c>
      <c r="C37" s="108" t="s">
        <v>188</v>
      </c>
      <c r="D37" s="42"/>
      <c r="E37" s="42"/>
      <c r="F37" s="42"/>
      <c r="G37" s="94">
        <v>1</v>
      </c>
      <c r="H37" s="58">
        <v>1</v>
      </c>
      <c r="I37" s="41" t="s">
        <v>72</v>
      </c>
      <c r="J37" s="41"/>
      <c r="K37" s="42"/>
      <c r="L37" s="42"/>
      <c r="M37" s="100"/>
      <c r="N37" s="94"/>
      <c r="O37" s="58"/>
      <c r="P37" s="41"/>
      <c r="Q37" s="41"/>
      <c r="R37" s="42"/>
      <c r="S37" s="42"/>
      <c r="T37" s="59"/>
      <c r="U37" s="42"/>
      <c r="V37" s="42"/>
      <c r="W37" s="42"/>
      <c r="X37" s="42"/>
      <c r="Y37" s="42"/>
      <c r="Z37" s="42"/>
      <c r="AA37" s="42"/>
      <c r="AB37" s="42"/>
      <c r="AC37" s="42"/>
      <c r="AD37" s="117"/>
    </row>
    <row r="38" spans="2:30" x14ac:dyDescent="0.25">
      <c r="B38" s="58">
        <v>1</v>
      </c>
      <c r="C38" s="41" t="s">
        <v>189</v>
      </c>
      <c r="D38" s="41"/>
      <c r="E38" s="42"/>
      <c r="F38" s="42"/>
      <c r="G38" s="42">
        <v>1</v>
      </c>
      <c r="H38" s="58">
        <v>1</v>
      </c>
      <c r="I38" s="41" t="s">
        <v>73</v>
      </c>
      <c r="J38" s="41"/>
      <c r="K38" s="42"/>
      <c r="L38" s="42"/>
      <c r="M38" s="59"/>
      <c r="N38" s="42"/>
      <c r="O38" s="58"/>
      <c r="P38" s="41"/>
      <c r="Q38" s="41"/>
      <c r="R38" s="42"/>
      <c r="S38" s="42"/>
      <c r="T38" s="59"/>
      <c r="U38" s="42"/>
      <c r="V38" s="42"/>
      <c r="W38" s="42"/>
      <c r="X38" s="42"/>
      <c r="Y38" s="42"/>
      <c r="Z38" s="42"/>
      <c r="AA38" s="42"/>
      <c r="AB38" s="42"/>
      <c r="AC38" s="42"/>
      <c r="AD38" s="117"/>
    </row>
    <row r="39" spans="2:30" x14ac:dyDescent="0.25">
      <c r="B39" s="58">
        <v>1</v>
      </c>
      <c r="C39" s="41" t="s">
        <v>241</v>
      </c>
      <c r="D39" s="41"/>
      <c r="E39" s="42"/>
      <c r="F39" s="42"/>
      <c r="G39" s="42"/>
      <c r="H39" s="95">
        <v>1</v>
      </c>
      <c r="I39" s="45" t="s">
        <v>74</v>
      </c>
      <c r="J39" s="45"/>
      <c r="K39" s="46"/>
      <c r="L39" s="46"/>
      <c r="M39" s="56"/>
      <c r="N39" s="42"/>
      <c r="O39" s="112"/>
      <c r="P39" s="113"/>
      <c r="Q39" s="45"/>
      <c r="R39" s="46"/>
      <c r="S39" s="46"/>
      <c r="T39" s="56"/>
      <c r="U39" s="42"/>
      <c r="V39" s="288" t="s">
        <v>171</v>
      </c>
      <c r="W39" s="292" t="s">
        <v>402</v>
      </c>
      <c r="X39" s="287" t="s">
        <v>163</v>
      </c>
      <c r="Y39" s="42"/>
      <c r="Z39" s="381" t="s">
        <v>403</v>
      </c>
      <c r="AA39" s="379"/>
      <c r="AB39" s="380"/>
      <c r="AC39" s="42"/>
      <c r="AD39" s="117"/>
    </row>
    <row r="40" spans="2:30" ht="9.9499999999999993" customHeight="1" x14ac:dyDescent="0.25">
      <c r="B40" s="35"/>
      <c r="C40" s="101"/>
      <c r="D40" s="101"/>
      <c r="E40" s="158"/>
      <c r="F40" s="158"/>
      <c r="G40" s="159"/>
      <c r="H40" s="42"/>
      <c r="I40" s="41"/>
      <c r="J40" s="41"/>
      <c r="K40" s="42"/>
      <c r="L40" s="42"/>
      <c r="M40" s="59"/>
      <c r="N40" s="42"/>
      <c r="O40" s="92"/>
      <c r="P40" s="3"/>
      <c r="Q40" s="41"/>
      <c r="R40" s="42"/>
      <c r="S40" s="42"/>
      <c r="T40" s="59"/>
      <c r="U40" s="42"/>
      <c r="V40" s="42"/>
      <c r="W40" s="42"/>
      <c r="X40" s="42"/>
      <c r="Y40" s="42"/>
      <c r="Z40" s="42"/>
      <c r="AA40" s="42"/>
      <c r="AB40" s="42"/>
      <c r="AC40" s="42"/>
      <c r="AD40" s="117"/>
    </row>
    <row r="41" spans="2:30" x14ac:dyDescent="0.25">
      <c r="B41" s="35">
        <f>SUM(B4:B39)</f>
        <v>34</v>
      </c>
      <c r="C41" s="101"/>
      <c r="D41" s="101"/>
      <c r="E41" s="158">
        <f>SUM(E4:E39)</f>
        <v>19</v>
      </c>
      <c r="F41" s="158">
        <f>SUM(F4:F39)</f>
        <v>6</v>
      </c>
      <c r="G41" s="159">
        <f>SUM(G4:G39)</f>
        <v>10</v>
      </c>
      <c r="H41" s="158">
        <f>SUM(H4:H39)</f>
        <v>41</v>
      </c>
      <c r="I41" s="158"/>
      <c r="J41" s="101"/>
      <c r="K41" s="158">
        <f>SUM(K4:K39)</f>
        <v>10</v>
      </c>
      <c r="L41" s="158">
        <f>SUM(L4:L39)</f>
        <v>14</v>
      </c>
      <c r="M41" s="159">
        <f>SUM(M4:M39)</f>
        <v>4</v>
      </c>
      <c r="N41" s="158"/>
      <c r="O41" s="35">
        <f>SUM(O4:O38)</f>
        <v>3</v>
      </c>
      <c r="P41" s="158"/>
      <c r="Q41" s="101"/>
      <c r="R41" s="158">
        <f>SUM(R4:R39)</f>
        <v>0</v>
      </c>
      <c r="S41" s="158">
        <f>SUM(S4:S39)</f>
        <v>1</v>
      </c>
      <c r="T41" s="159">
        <f>SUM(T4:T39)</f>
        <v>2</v>
      </c>
      <c r="U41" s="42"/>
      <c r="V41" s="223">
        <f>R59</f>
        <v>29</v>
      </c>
      <c r="W41" s="289">
        <f>S59</f>
        <v>21</v>
      </c>
      <c r="X41" s="177">
        <f>T59</f>
        <v>16</v>
      </c>
      <c r="Y41" s="290"/>
      <c r="Z41" s="223">
        <f>R62</f>
        <v>34</v>
      </c>
      <c r="AA41" s="289">
        <f>S62</f>
        <v>41</v>
      </c>
      <c r="AB41" s="177">
        <f>T62</f>
        <v>3</v>
      </c>
      <c r="AC41" s="290"/>
      <c r="AD41" s="117"/>
    </row>
    <row r="42" spans="2:30" x14ac:dyDescent="0.25">
      <c r="B42" s="58"/>
      <c r="C42" s="102" t="s">
        <v>27</v>
      </c>
      <c r="D42" s="42" t="s">
        <v>171</v>
      </c>
      <c r="E42" s="114" t="s">
        <v>138</v>
      </c>
      <c r="F42" s="42" t="s">
        <v>137</v>
      </c>
      <c r="G42" s="59" t="s">
        <v>172</v>
      </c>
      <c r="H42" s="42">
        <f>B41+H41</f>
        <v>75</v>
      </c>
      <c r="I42" s="102" t="str">
        <f>C42</f>
        <v>Σ</v>
      </c>
      <c r="J42" s="102" t="str">
        <f>D42</f>
        <v>Σ T</v>
      </c>
      <c r="K42" s="102" t="str">
        <f>E42</f>
        <v>1/2 D</v>
      </c>
      <c r="L42" s="102" t="str">
        <f>F42</f>
        <v>D</v>
      </c>
      <c r="M42" s="104" t="s">
        <v>173</v>
      </c>
      <c r="N42" s="102"/>
      <c r="O42" s="58">
        <f>H42+O41</f>
        <v>78</v>
      </c>
      <c r="P42" s="102"/>
      <c r="Q42" s="102"/>
      <c r="R42" s="102"/>
      <c r="S42" s="102"/>
      <c r="T42" s="104"/>
      <c r="U42" s="102"/>
      <c r="V42" s="404">
        <f>V41+W41+X41</f>
        <v>66</v>
      </c>
      <c r="W42" s="405"/>
      <c r="X42" s="406"/>
      <c r="Y42" s="295"/>
      <c r="Z42" s="404">
        <f>Z41+AA41+AB41</f>
        <v>78</v>
      </c>
      <c r="AA42" s="405"/>
      <c r="AB42" s="406"/>
      <c r="AC42" s="293"/>
      <c r="AD42" s="120"/>
    </row>
    <row r="43" spans="2:30" x14ac:dyDescent="0.25">
      <c r="B43" s="95"/>
      <c r="C43" s="103">
        <f>O42</f>
        <v>78</v>
      </c>
      <c r="D43" s="46">
        <f>E41+K41+R41</f>
        <v>29</v>
      </c>
      <c r="E43" s="46">
        <f>F41+L41+S41</f>
        <v>21</v>
      </c>
      <c r="F43" s="46">
        <f>G41+M41+T41</f>
        <v>16</v>
      </c>
      <c r="G43" s="56">
        <f>E43+F43</f>
        <v>37</v>
      </c>
      <c r="H43" s="46">
        <v>1</v>
      </c>
      <c r="I43" s="109">
        <f>C43/H42</f>
        <v>1.04</v>
      </c>
      <c r="J43" s="57">
        <f>D43/H42</f>
        <v>0.38666666666666666</v>
      </c>
      <c r="K43" s="57">
        <f>E43/H42</f>
        <v>0.28000000000000003</v>
      </c>
      <c r="L43" s="57">
        <f>F43/H42</f>
        <v>0.21333333333333335</v>
      </c>
      <c r="M43" s="60">
        <f>G43/H42</f>
        <v>0.49333333333333335</v>
      </c>
      <c r="N43" s="57"/>
      <c r="O43" s="95">
        <v>1</v>
      </c>
      <c r="P43" s="109"/>
      <c r="Q43" s="57"/>
      <c r="R43" s="57"/>
      <c r="S43" s="57"/>
      <c r="T43" s="60"/>
      <c r="U43" s="116"/>
      <c r="V43" s="188"/>
      <c r="W43" s="407">
        <f>W41+X41</f>
        <v>37</v>
      </c>
      <c r="X43" s="408"/>
      <c r="Y43" s="295"/>
      <c r="Z43" s="188"/>
      <c r="AA43" s="407"/>
      <c r="AB43" s="408"/>
      <c r="AC43" s="294"/>
      <c r="AD43" s="296"/>
    </row>
    <row r="44" spans="2:30" ht="9.9499999999999993" customHeight="1" x14ac:dyDescent="0.25">
      <c r="D44" s="1"/>
      <c r="I44" s="1"/>
      <c r="J44" s="1"/>
      <c r="K44" s="1"/>
      <c r="L44" s="1"/>
      <c r="M44" s="1"/>
      <c r="N44" s="4"/>
      <c r="P44" s="1"/>
      <c r="Q44" s="1"/>
      <c r="R44" s="1"/>
      <c r="S44" s="1"/>
      <c r="T44" s="1"/>
      <c r="U44" s="1"/>
      <c r="V44" s="291"/>
      <c r="W44" s="291"/>
      <c r="X44" s="291"/>
      <c r="Y44" s="291"/>
      <c r="Z44" s="291"/>
      <c r="AA44" s="291"/>
      <c r="AB44" s="291"/>
      <c r="AC44" s="291"/>
    </row>
    <row r="45" spans="2:30" x14ac:dyDescent="0.25">
      <c r="Y45" s="3"/>
    </row>
    <row r="46" spans="2:30" x14ac:dyDescent="0.25">
      <c r="Y46" s="290"/>
    </row>
    <row r="55" spans="2:20" x14ac:dyDescent="0.25">
      <c r="I55" s="61"/>
      <c r="P55" s="61"/>
      <c r="R55" s="42" t="s">
        <v>171</v>
      </c>
      <c r="S55" s="114" t="s">
        <v>402</v>
      </c>
      <c r="T55" s="42" t="s">
        <v>163</v>
      </c>
    </row>
    <row r="56" spans="2:20" x14ac:dyDescent="0.25">
      <c r="I56" s="61"/>
      <c r="P56" s="61"/>
      <c r="R56" s="42">
        <f>E41</f>
        <v>19</v>
      </c>
      <c r="S56" s="42">
        <f>F41</f>
        <v>6</v>
      </c>
      <c r="T56" s="42">
        <f>G41</f>
        <v>10</v>
      </c>
    </row>
    <row r="57" spans="2:20" x14ac:dyDescent="0.25">
      <c r="R57" s="42">
        <f>K41</f>
        <v>10</v>
      </c>
      <c r="S57" s="42">
        <f>L41</f>
        <v>14</v>
      </c>
      <c r="T57" s="42">
        <f>M41</f>
        <v>4</v>
      </c>
    </row>
    <row r="58" spans="2:20" x14ac:dyDescent="0.25">
      <c r="I58" s="61"/>
      <c r="P58" s="61"/>
      <c r="R58" s="42">
        <f>R41</f>
        <v>0</v>
      </c>
      <c r="S58" s="42">
        <f>S41</f>
        <v>1</v>
      </c>
      <c r="T58" s="42">
        <f>T41</f>
        <v>2</v>
      </c>
    </row>
    <row r="59" spans="2:20" x14ac:dyDescent="0.25">
      <c r="I59" s="61"/>
      <c r="P59" s="61"/>
      <c r="R59" s="271">
        <f>R56+R57+R58</f>
        <v>29</v>
      </c>
      <c r="S59" s="271">
        <f t="shared" ref="S59:T59" si="4">S56+S57+S58</f>
        <v>21</v>
      </c>
      <c r="T59" s="271">
        <f t="shared" si="4"/>
        <v>16</v>
      </c>
    </row>
    <row r="60" spans="2:20" x14ac:dyDescent="0.25">
      <c r="B60"/>
      <c r="H60"/>
      <c r="I60" s="61"/>
      <c r="O60"/>
      <c r="P60" s="61"/>
      <c r="R60" s="412">
        <f>R59+S59+T59</f>
        <v>66</v>
      </c>
      <c r="S60" s="412"/>
      <c r="T60" s="412"/>
    </row>
    <row r="61" spans="2:20" x14ac:dyDescent="0.25">
      <c r="B61"/>
      <c r="H61"/>
      <c r="O61"/>
      <c r="S61" s="407">
        <f>S59+T59</f>
        <v>37</v>
      </c>
      <c r="T61" s="407"/>
    </row>
    <row r="62" spans="2:20" x14ac:dyDescent="0.25">
      <c r="B62"/>
      <c r="H62"/>
      <c r="O62"/>
      <c r="R62" s="232">
        <f>B41</f>
        <v>34</v>
      </c>
      <c r="S62" s="232">
        <f>H41</f>
        <v>41</v>
      </c>
      <c r="T62" s="232">
        <f>O41</f>
        <v>3</v>
      </c>
    </row>
    <row r="63" spans="2:20" x14ac:dyDescent="0.25">
      <c r="B63"/>
      <c r="H63"/>
      <c r="O63"/>
      <c r="R63" s="383">
        <f>R62+S62+T62</f>
        <v>78</v>
      </c>
      <c r="S63" s="383"/>
      <c r="T63" s="383"/>
    </row>
    <row r="64" spans="2:20" x14ac:dyDescent="0.25">
      <c r="B64"/>
      <c r="H64"/>
      <c r="O64"/>
    </row>
    <row r="65" spans="2:15" x14ac:dyDescent="0.25">
      <c r="B65"/>
      <c r="H65"/>
      <c r="O65"/>
    </row>
    <row r="66" spans="2:15" x14ac:dyDescent="0.25">
      <c r="B66"/>
      <c r="H66"/>
      <c r="O66"/>
    </row>
    <row r="67" spans="2:15" x14ac:dyDescent="0.25">
      <c r="B67"/>
      <c r="H67"/>
      <c r="O67"/>
    </row>
    <row r="68" spans="2:15" x14ac:dyDescent="0.25">
      <c r="B68"/>
      <c r="H68"/>
      <c r="O68"/>
    </row>
    <row r="69" spans="2:15" x14ac:dyDescent="0.25">
      <c r="B69"/>
      <c r="H69"/>
      <c r="O69"/>
    </row>
    <row r="70" spans="2:15" x14ac:dyDescent="0.25">
      <c r="B70"/>
      <c r="H70"/>
      <c r="O70"/>
    </row>
  </sheetData>
  <mergeCells count="9">
    <mergeCell ref="Z42:AB42"/>
    <mergeCell ref="AA43:AB43"/>
    <mergeCell ref="Z39:AB39"/>
    <mergeCell ref="B2:M2"/>
    <mergeCell ref="R63:T63"/>
    <mergeCell ref="S61:T61"/>
    <mergeCell ref="R60:T60"/>
    <mergeCell ref="V42:X42"/>
    <mergeCell ref="W43:X4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A11" zoomScale="115" zoomScaleNormal="115" workbookViewId="0">
      <selection activeCell="R9" sqref="R9"/>
    </sheetView>
  </sheetViews>
  <sheetFormatPr baseColWidth="10" defaultRowHeight="15" x14ac:dyDescent="0.25"/>
  <cols>
    <col min="2" max="2" width="20" bestFit="1" customWidth="1"/>
    <col min="3" max="6" width="4.7109375" style="1" customWidth="1"/>
    <col min="7" max="7" width="12.42578125" style="133" customWidth="1"/>
    <col min="8" max="8" width="11.42578125" style="1"/>
    <col min="10" max="12" width="11.42578125" style="1"/>
    <col min="13" max="13" width="34.5703125" bestFit="1" customWidth="1"/>
    <col min="14" max="14" width="7.7109375" style="1" bestFit="1" customWidth="1"/>
    <col min="15" max="15" width="3.85546875" customWidth="1"/>
    <col min="16" max="16" width="26.140625" bestFit="1" customWidth="1"/>
    <col min="18" max="19" width="18.5703125" bestFit="1" customWidth="1"/>
  </cols>
  <sheetData>
    <row r="1" spans="1:19" s="1" customFormat="1" x14ac:dyDescent="0.25">
      <c r="C1" s="1" t="s">
        <v>215</v>
      </c>
      <c r="E1" s="1" t="s">
        <v>264</v>
      </c>
      <c r="F1" s="1" t="s">
        <v>265</v>
      </c>
      <c r="G1" s="134"/>
      <c r="J1" s="1" t="s">
        <v>289</v>
      </c>
      <c r="K1" s="1" t="str">
        <f>J1</f>
        <v>session</v>
      </c>
      <c r="N1" s="1" t="s">
        <v>285</v>
      </c>
    </row>
    <row r="2" spans="1:19" x14ac:dyDescent="0.25">
      <c r="A2" t="s">
        <v>272</v>
      </c>
      <c r="B2" t="s">
        <v>255</v>
      </c>
      <c r="C2" s="1">
        <v>6</v>
      </c>
      <c r="D2" s="1">
        <v>4</v>
      </c>
      <c r="E2" s="1">
        <v>9</v>
      </c>
      <c r="F2" s="1">
        <v>1</v>
      </c>
      <c r="G2" s="134">
        <f>C2*D2*E2*F2</f>
        <v>216</v>
      </c>
      <c r="H2" s="1">
        <v>1</v>
      </c>
      <c r="J2" s="1">
        <v>1984</v>
      </c>
      <c r="K2" s="1">
        <v>1985</v>
      </c>
      <c r="L2" s="1" t="s">
        <v>256</v>
      </c>
      <c r="M2" t="s">
        <v>267</v>
      </c>
      <c r="N2" s="1">
        <v>1</v>
      </c>
      <c r="O2" s="130">
        <v>1</v>
      </c>
      <c r="P2" t="s">
        <v>277</v>
      </c>
      <c r="R2" s="130"/>
      <c r="S2" s="130"/>
    </row>
    <row r="3" spans="1:19" x14ac:dyDescent="0.25">
      <c r="B3" t="s">
        <v>256</v>
      </c>
      <c r="C3" s="1">
        <v>6</v>
      </c>
      <c r="D3" s="1">
        <v>4</v>
      </c>
      <c r="E3" s="1">
        <v>9</v>
      </c>
      <c r="F3" s="1">
        <v>1</v>
      </c>
      <c r="G3" s="134">
        <f t="shared" ref="G3:G19" si="0">C3*D3*E3*F3</f>
        <v>216</v>
      </c>
      <c r="H3" s="1">
        <v>1</v>
      </c>
      <c r="J3" s="1">
        <v>1985</v>
      </c>
      <c r="K3" s="1">
        <v>1986</v>
      </c>
      <c r="O3" s="122"/>
      <c r="R3" s="130"/>
      <c r="S3" s="130"/>
    </row>
    <row r="4" spans="1:19" x14ac:dyDescent="0.25">
      <c r="B4" t="s">
        <v>257</v>
      </c>
      <c r="C4" s="1">
        <v>6</v>
      </c>
      <c r="D4" s="1">
        <v>4</v>
      </c>
      <c r="E4" s="1">
        <v>9</v>
      </c>
      <c r="F4" s="1">
        <v>1</v>
      </c>
      <c r="G4" s="134">
        <f t="shared" si="0"/>
        <v>216</v>
      </c>
      <c r="H4" s="1">
        <v>1</v>
      </c>
      <c r="J4" s="1">
        <v>1986</v>
      </c>
      <c r="K4" s="1">
        <v>1987</v>
      </c>
      <c r="O4" s="130"/>
      <c r="R4" s="130"/>
      <c r="S4" s="130"/>
    </row>
    <row r="5" spans="1:19" x14ac:dyDescent="0.25">
      <c r="B5" t="s">
        <v>254</v>
      </c>
      <c r="C5" s="1">
        <v>6</v>
      </c>
      <c r="D5" s="1">
        <v>4</v>
      </c>
      <c r="E5" s="1">
        <v>9</v>
      </c>
      <c r="F5" s="1">
        <v>1</v>
      </c>
      <c r="G5" s="134">
        <f t="shared" si="0"/>
        <v>216</v>
      </c>
      <c r="H5" s="1">
        <v>1</v>
      </c>
      <c r="J5" s="1">
        <v>1987</v>
      </c>
      <c r="K5" s="1">
        <v>1988</v>
      </c>
      <c r="O5" s="130"/>
      <c r="R5" s="130"/>
      <c r="S5" s="130"/>
    </row>
    <row r="6" spans="1:19" x14ac:dyDescent="0.25">
      <c r="G6" s="134"/>
      <c r="J6" s="1">
        <v>1988</v>
      </c>
      <c r="K6" s="1">
        <v>1989</v>
      </c>
      <c r="O6" s="130"/>
      <c r="R6" s="130"/>
      <c r="S6" s="130"/>
    </row>
    <row r="7" spans="1:19" x14ac:dyDescent="0.25">
      <c r="B7" t="s">
        <v>258</v>
      </c>
      <c r="C7" s="1">
        <v>6</v>
      </c>
      <c r="D7" s="1">
        <v>4</v>
      </c>
      <c r="E7" s="1">
        <v>9</v>
      </c>
      <c r="F7" s="1">
        <v>1</v>
      </c>
      <c r="G7" s="134">
        <f t="shared" si="0"/>
        <v>216</v>
      </c>
      <c r="H7" s="1">
        <v>1</v>
      </c>
      <c r="J7" s="1">
        <v>1989</v>
      </c>
      <c r="K7" s="1">
        <v>1990</v>
      </c>
      <c r="O7" s="130"/>
      <c r="R7" s="130"/>
      <c r="S7" s="130"/>
    </row>
    <row r="8" spans="1:19" x14ac:dyDescent="0.25">
      <c r="G8" s="134"/>
      <c r="J8" s="1">
        <v>1990</v>
      </c>
      <c r="K8" s="1">
        <v>1991</v>
      </c>
      <c r="O8" s="122"/>
      <c r="R8" s="130"/>
      <c r="S8" s="130"/>
    </row>
    <row r="9" spans="1:19" x14ac:dyDescent="0.25">
      <c r="B9" t="s">
        <v>259</v>
      </c>
      <c r="C9" s="1">
        <v>4</v>
      </c>
      <c r="D9" s="1">
        <v>4</v>
      </c>
      <c r="E9" s="1">
        <v>9</v>
      </c>
      <c r="F9" s="1">
        <v>1</v>
      </c>
      <c r="G9" s="134">
        <f t="shared" si="0"/>
        <v>144</v>
      </c>
      <c r="H9" s="1">
        <v>1</v>
      </c>
      <c r="J9" s="1">
        <v>1991</v>
      </c>
      <c r="K9" s="1">
        <v>1992</v>
      </c>
      <c r="L9" s="1" t="s">
        <v>273</v>
      </c>
      <c r="M9" t="s">
        <v>355</v>
      </c>
      <c r="N9" s="1">
        <v>1</v>
      </c>
      <c r="O9" s="130">
        <v>1</v>
      </c>
      <c r="P9" t="s">
        <v>278</v>
      </c>
      <c r="R9" s="130"/>
      <c r="S9" s="130"/>
    </row>
    <row r="10" spans="1:19" x14ac:dyDescent="0.25">
      <c r="B10" t="s">
        <v>259</v>
      </c>
      <c r="C10" s="1">
        <v>4</v>
      </c>
      <c r="D10" s="1">
        <v>4</v>
      </c>
      <c r="E10" s="1">
        <v>9</v>
      </c>
      <c r="F10" s="1">
        <v>1</v>
      </c>
      <c r="G10" s="134">
        <f t="shared" si="0"/>
        <v>144</v>
      </c>
      <c r="H10" s="1">
        <v>1</v>
      </c>
      <c r="J10" s="1">
        <v>1992</v>
      </c>
      <c r="K10" s="1">
        <v>1993</v>
      </c>
      <c r="O10" s="130"/>
      <c r="R10" s="130"/>
      <c r="S10" s="130"/>
    </row>
    <row r="11" spans="1:19" x14ac:dyDescent="0.25">
      <c r="G11" s="134"/>
      <c r="J11" s="1">
        <v>1993</v>
      </c>
      <c r="K11" s="1">
        <v>1994</v>
      </c>
      <c r="O11" s="122"/>
      <c r="R11" s="130"/>
      <c r="S11" s="130"/>
    </row>
    <row r="12" spans="1:19" x14ac:dyDescent="0.25">
      <c r="B12" t="s">
        <v>260</v>
      </c>
      <c r="C12" s="1">
        <v>4</v>
      </c>
      <c r="D12" s="1">
        <v>4</v>
      </c>
      <c r="E12" s="1">
        <v>9</v>
      </c>
      <c r="F12" s="1">
        <v>1</v>
      </c>
      <c r="G12" s="134">
        <f t="shared" si="0"/>
        <v>144</v>
      </c>
      <c r="H12" s="1">
        <v>1</v>
      </c>
      <c r="J12" s="1">
        <v>1994</v>
      </c>
      <c r="K12" s="1">
        <v>1995</v>
      </c>
      <c r="O12" s="122"/>
      <c r="R12" s="130"/>
      <c r="S12" s="130"/>
    </row>
    <row r="13" spans="1:19" x14ac:dyDescent="0.25">
      <c r="B13" t="s">
        <v>261</v>
      </c>
      <c r="C13" s="1">
        <v>4</v>
      </c>
      <c r="D13" s="1">
        <v>4</v>
      </c>
      <c r="E13" s="1">
        <v>5</v>
      </c>
      <c r="F13" s="1">
        <v>1</v>
      </c>
      <c r="G13" s="134">
        <f t="shared" si="0"/>
        <v>80</v>
      </c>
      <c r="H13" s="1">
        <f>E13/E12</f>
        <v>0.55555555555555558</v>
      </c>
      <c r="J13" s="1">
        <v>1995</v>
      </c>
      <c r="K13" s="1">
        <v>1996</v>
      </c>
      <c r="M13" t="s">
        <v>276</v>
      </c>
      <c r="N13" s="1">
        <v>1</v>
      </c>
      <c r="O13" s="130">
        <v>1</v>
      </c>
      <c r="P13" t="s">
        <v>279</v>
      </c>
      <c r="R13" s="130"/>
      <c r="S13" s="130"/>
    </row>
    <row r="14" spans="1:19" x14ac:dyDescent="0.25">
      <c r="G14" s="134"/>
      <c r="J14" s="1">
        <v>1996</v>
      </c>
      <c r="K14" s="1">
        <v>1997</v>
      </c>
      <c r="O14" s="130"/>
      <c r="R14" s="130"/>
      <c r="S14" s="130"/>
    </row>
    <row r="15" spans="1:19" x14ac:dyDescent="0.25">
      <c r="B15" t="s">
        <v>262</v>
      </c>
      <c r="C15" s="1">
        <v>6</v>
      </c>
      <c r="D15" s="1">
        <v>4</v>
      </c>
      <c r="E15" s="1">
        <v>6</v>
      </c>
      <c r="F15" s="1">
        <v>1</v>
      </c>
      <c r="G15" s="134">
        <f t="shared" si="0"/>
        <v>144</v>
      </c>
      <c r="J15" s="1">
        <v>1997</v>
      </c>
      <c r="K15" s="1">
        <v>1998</v>
      </c>
      <c r="L15" s="1" t="s">
        <v>197</v>
      </c>
      <c r="M15" t="s">
        <v>275</v>
      </c>
      <c r="N15" s="1">
        <v>1</v>
      </c>
      <c r="O15" s="130">
        <v>1</v>
      </c>
      <c r="P15" t="s">
        <v>280</v>
      </c>
      <c r="R15" s="130"/>
      <c r="S15" s="130"/>
    </row>
    <row r="16" spans="1:19" x14ac:dyDescent="0.25">
      <c r="B16" t="s">
        <v>263</v>
      </c>
      <c r="C16" s="1">
        <v>6</v>
      </c>
      <c r="D16" s="1">
        <v>4</v>
      </c>
      <c r="E16" s="1">
        <v>6</v>
      </c>
      <c r="F16" s="1">
        <v>1</v>
      </c>
      <c r="G16" s="134">
        <f t="shared" si="0"/>
        <v>144</v>
      </c>
      <c r="H16" s="1">
        <v>1</v>
      </c>
      <c r="J16" s="1">
        <v>1998</v>
      </c>
      <c r="K16" s="1">
        <v>1999</v>
      </c>
      <c r="L16" s="1" t="s">
        <v>197</v>
      </c>
      <c r="M16" t="s">
        <v>274</v>
      </c>
      <c r="N16" s="1">
        <v>1</v>
      </c>
      <c r="O16" s="130">
        <v>1</v>
      </c>
      <c r="P16" t="s">
        <v>280</v>
      </c>
      <c r="R16" s="130"/>
      <c r="S16" s="130"/>
    </row>
    <row r="17" spans="2:20" x14ac:dyDescent="0.25">
      <c r="G17" s="134"/>
      <c r="J17" s="1" t="s">
        <v>288</v>
      </c>
      <c r="R17" s="130"/>
      <c r="S17" s="130"/>
    </row>
    <row r="18" spans="2:20" x14ac:dyDescent="0.25">
      <c r="B18" t="s">
        <v>197</v>
      </c>
      <c r="C18" s="1">
        <v>6</v>
      </c>
      <c r="D18" s="1">
        <v>4</v>
      </c>
      <c r="E18" s="1">
        <v>4</v>
      </c>
      <c r="F18" s="1">
        <v>2</v>
      </c>
      <c r="G18" s="134">
        <f t="shared" si="0"/>
        <v>192</v>
      </c>
      <c r="H18" s="1">
        <f>E18/8</f>
        <v>0.5</v>
      </c>
      <c r="J18" s="1">
        <v>1999</v>
      </c>
      <c r="M18" t="s">
        <v>287</v>
      </c>
      <c r="P18" t="str">
        <f>P16</f>
        <v>Besançon</v>
      </c>
      <c r="R18" s="130"/>
      <c r="S18" s="130"/>
    </row>
    <row r="19" spans="2:20" x14ac:dyDescent="0.25">
      <c r="B19" t="s">
        <v>197</v>
      </c>
      <c r="C19" s="1">
        <v>6</v>
      </c>
      <c r="D19" s="1">
        <v>4</v>
      </c>
      <c r="E19" s="1">
        <v>6</v>
      </c>
      <c r="F19" s="1">
        <v>2</v>
      </c>
      <c r="G19" s="134">
        <f t="shared" si="0"/>
        <v>288</v>
      </c>
      <c r="H19" s="1">
        <f>F19/8</f>
        <v>0.25</v>
      </c>
      <c r="J19" s="1">
        <v>2000</v>
      </c>
      <c r="M19" t="s">
        <v>271</v>
      </c>
      <c r="N19" s="1">
        <v>1</v>
      </c>
      <c r="O19" s="131">
        <v>1</v>
      </c>
      <c r="P19" t="s">
        <v>280</v>
      </c>
      <c r="R19" s="130"/>
      <c r="S19" s="130"/>
    </row>
    <row r="20" spans="2:20" x14ac:dyDescent="0.25">
      <c r="J20" s="1">
        <v>2001</v>
      </c>
      <c r="O20" s="131"/>
      <c r="R20" s="130"/>
      <c r="S20" s="130"/>
    </row>
    <row r="21" spans="2:20" x14ac:dyDescent="0.25">
      <c r="G21" s="133">
        <f>SUM(G2:G19)</f>
        <v>2360</v>
      </c>
      <c r="H21" s="1">
        <f>SUM(H2:H19)</f>
        <v>10.305555555555555</v>
      </c>
      <c r="J21" s="1">
        <v>2002</v>
      </c>
      <c r="M21" t="s">
        <v>270</v>
      </c>
      <c r="N21" s="1">
        <v>1</v>
      </c>
      <c r="O21" s="131">
        <v>1</v>
      </c>
      <c r="P21" t="s">
        <v>281</v>
      </c>
      <c r="R21" s="130"/>
      <c r="S21" s="130"/>
    </row>
    <row r="22" spans="2:20" x14ac:dyDescent="0.25">
      <c r="G22" s="133">
        <v>24</v>
      </c>
      <c r="J22" s="1">
        <v>2003</v>
      </c>
      <c r="M22" t="s">
        <v>286</v>
      </c>
      <c r="O22" s="131"/>
      <c r="R22" s="130"/>
      <c r="S22" s="130"/>
    </row>
    <row r="23" spans="2:20" x14ac:dyDescent="0.25">
      <c r="G23" s="133">
        <f>G21/G22</f>
        <v>98.333333333333329</v>
      </c>
      <c r="J23" s="1">
        <v>2004</v>
      </c>
      <c r="O23" s="131"/>
      <c r="R23" s="122"/>
      <c r="S23" s="122"/>
      <c r="T23" s="132"/>
    </row>
    <row r="24" spans="2:20" x14ac:dyDescent="0.25">
      <c r="G24" s="133">
        <v>12</v>
      </c>
      <c r="J24" s="1">
        <v>2005</v>
      </c>
      <c r="O24" s="122"/>
      <c r="R24" s="130"/>
      <c r="S24" s="130"/>
    </row>
    <row r="25" spans="2:20" x14ac:dyDescent="0.25">
      <c r="G25" s="133">
        <f>G23/G24</f>
        <v>8.1944444444444446</v>
      </c>
      <c r="J25" s="1">
        <v>2006</v>
      </c>
      <c r="O25" s="122"/>
    </row>
    <row r="26" spans="2:20" x14ac:dyDescent="0.25">
      <c r="G26" s="133">
        <f>INT(G25)</f>
        <v>8</v>
      </c>
      <c r="H26" s="1" t="s">
        <v>205</v>
      </c>
      <c r="J26" s="1">
        <v>2007</v>
      </c>
    </row>
    <row r="27" spans="2:20" x14ac:dyDescent="0.25">
      <c r="G27" s="133">
        <f>G25-G26</f>
        <v>0.19444444444444464</v>
      </c>
      <c r="J27" s="1">
        <v>2008</v>
      </c>
      <c r="M27" t="s">
        <v>268</v>
      </c>
      <c r="N27" s="1">
        <v>1</v>
      </c>
      <c r="P27" t="s">
        <v>282</v>
      </c>
    </row>
    <row r="28" spans="2:20" x14ac:dyDescent="0.25">
      <c r="G28" s="133">
        <f>G27*12</f>
        <v>2.3333333333333357</v>
      </c>
      <c r="J28" s="1">
        <v>2009</v>
      </c>
    </row>
    <row r="29" spans="2:20" x14ac:dyDescent="0.25">
      <c r="G29" s="133">
        <f>INT(G28)</f>
        <v>2</v>
      </c>
      <c r="H29" s="1" t="s">
        <v>266</v>
      </c>
      <c r="J29" s="1">
        <v>2010</v>
      </c>
    </row>
    <row r="30" spans="2:20" x14ac:dyDescent="0.25">
      <c r="J30" s="1">
        <v>2011</v>
      </c>
    </row>
    <row r="31" spans="2:20" x14ac:dyDescent="0.25">
      <c r="J31" s="1">
        <v>2012</v>
      </c>
    </row>
    <row r="32" spans="2:20" x14ac:dyDescent="0.25">
      <c r="J32" s="1">
        <v>2013</v>
      </c>
    </row>
    <row r="33" spans="10:16" x14ac:dyDescent="0.25">
      <c r="J33" s="1">
        <v>2014</v>
      </c>
    </row>
    <row r="34" spans="10:16" x14ac:dyDescent="0.25">
      <c r="J34" s="1">
        <v>2015</v>
      </c>
      <c r="M34" t="s">
        <v>269</v>
      </c>
      <c r="N34" s="1">
        <v>1</v>
      </c>
      <c r="O34">
        <v>1</v>
      </c>
      <c r="P34" t="s">
        <v>283</v>
      </c>
    </row>
    <row r="35" spans="10:16" x14ac:dyDescent="0.25">
      <c r="J35" s="1">
        <v>2016</v>
      </c>
    </row>
    <row r="36" spans="10:16" x14ac:dyDescent="0.25">
      <c r="J36" s="1">
        <v>2017</v>
      </c>
      <c r="M36" t="s">
        <v>86</v>
      </c>
      <c r="N36" s="1">
        <v>1</v>
      </c>
      <c r="O36">
        <v>1</v>
      </c>
      <c r="P36" t="s">
        <v>284</v>
      </c>
    </row>
    <row r="37" spans="10:16" x14ac:dyDescent="0.25">
      <c r="J37" s="1">
        <v>2018</v>
      </c>
    </row>
    <row r="38" spans="10:16" x14ac:dyDescent="0.25">
      <c r="J38" s="1">
        <v>2019</v>
      </c>
    </row>
    <row r="39" spans="10:16" x14ac:dyDescent="0.25">
      <c r="N39" s="1">
        <f>SUM(N3:N38)</f>
        <v>9</v>
      </c>
      <c r="O39" s="1">
        <f>SUM(O3:O38)</f>
        <v>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42"/>
  <sheetViews>
    <sheetView topLeftCell="I1" workbookViewId="0">
      <selection activeCell="W31" sqref="W31"/>
    </sheetView>
  </sheetViews>
  <sheetFormatPr baseColWidth="10" defaultRowHeight="15" x14ac:dyDescent="0.25"/>
  <cols>
    <col min="1" max="1" width="4.140625" customWidth="1"/>
    <col min="2" max="2" width="49.140625" customWidth="1"/>
    <col min="3" max="3" width="6.7109375" style="1" customWidth="1"/>
    <col min="4" max="4" width="11.42578125" style="96"/>
    <col min="5" max="5" width="18.5703125" style="96" bestFit="1" customWidth="1"/>
    <col min="6" max="6" width="18.5703125" style="121" customWidth="1"/>
    <col min="7" max="7" width="3.7109375" style="96" customWidth="1"/>
    <col min="8" max="8" width="2.28515625" style="96" bestFit="1" customWidth="1"/>
    <col min="9" max="9" width="2.140625" style="96" bestFit="1" customWidth="1"/>
    <col min="10" max="10" width="5.85546875" style="96" customWidth="1"/>
    <col min="11" max="11" width="12" style="96" bestFit="1" customWidth="1"/>
    <col min="12" max="12" width="11.42578125" style="96"/>
    <col min="13" max="13" width="2.140625" style="96" bestFit="1" customWidth="1"/>
    <col min="14" max="14" width="16.85546875" style="96" bestFit="1" customWidth="1"/>
    <col min="15" max="15" width="5" style="96" customWidth="1"/>
    <col min="16" max="16" width="12.7109375" style="96" bestFit="1" customWidth="1"/>
    <col min="17" max="17" width="15" style="96" bestFit="1" customWidth="1"/>
    <col min="18" max="18" width="5.85546875" style="96" bestFit="1" customWidth="1"/>
    <col min="19" max="19" width="5.7109375" style="96" bestFit="1" customWidth="1"/>
    <col min="20" max="20" width="5.7109375" style="297" customWidth="1"/>
    <col min="21" max="21" width="7.140625" bestFit="1" customWidth="1"/>
    <col min="22" max="22" width="8.5703125" bestFit="1" customWidth="1"/>
    <col min="23" max="23" width="49.42578125" bestFit="1" customWidth="1"/>
    <col min="24" max="24" width="4.140625" customWidth="1"/>
    <col min="25" max="25" width="69.28515625" bestFit="1" customWidth="1"/>
  </cols>
  <sheetData>
    <row r="2" spans="2:25" x14ac:dyDescent="0.25">
      <c r="H2" s="96" t="s">
        <v>137</v>
      </c>
      <c r="I2" s="96" t="s">
        <v>215</v>
      </c>
      <c r="J2" s="413" t="s">
        <v>220</v>
      </c>
      <c r="K2" s="413"/>
      <c r="L2" s="413"/>
      <c r="P2" s="96" t="s">
        <v>203</v>
      </c>
      <c r="Q2" s="96" t="s">
        <v>204</v>
      </c>
      <c r="U2">
        <f>G29</f>
        <v>3</v>
      </c>
      <c r="V2" s="96" t="s">
        <v>219</v>
      </c>
      <c r="W2" s="96" t="s">
        <v>252</v>
      </c>
      <c r="Y2" t="str">
        <f>U2&amp;V2&amp;W2</f>
        <v>3 Ans   de mathématiques  semi professionnelle compilées</v>
      </c>
    </row>
    <row r="3" spans="2:25" x14ac:dyDescent="0.25">
      <c r="O3" s="96">
        <v>1</v>
      </c>
      <c r="V3" s="96" t="s">
        <v>216</v>
      </c>
      <c r="W3" s="96" t="s">
        <v>249</v>
      </c>
      <c r="Y3" t="str">
        <f>U3&amp;V3&amp;W3</f>
        <v xml:space="preserve"> heures de mathématique scolaire compilées</v>
      </c>
    </row>
    <row r="4" spans="2:25" x14ac:dyDescent="0.25">
      <c r="B4" s="117" t="str">
        <f>Y6</f>
        <v xml:space="preserve">Mathématique annuelle : 23 Années </v>
      </c>
      <c r="D4" s="96" t="s">
        <v>190</v>
      </c>
      <c r="I4" s="96">
        <v>6</v>
      </c>
      <c r="J4" s="96">
        <f>4*9</f>
        <v>36</v>
      </c>
      <c r="K4" s="96">
        <f>I4*J4</f>
        <v>216</v>
      </c>
      <c r="L4" s="96">
        <f>K4</f>
        <v>216</v>
      </c>
      <c r="M4" s="96" t="s">
        <v>215</v>
      </c>
      <c r="O4" s="96">
        <f t="shared" ref="O4:O10" si="0">O3</f>
        <v>1</v>
      </c>
      <c r="U4">
        <f>N29</f>
        <v>5</v>
      </c>
      <c r="V4" s="96" t="str">
        <f>V5</f>
        <v xml:space="preserve"> Années </v>
      </c>
      <c r="W4" s="96" t="s">
        <v>251</v>
      </c>
      <c r="Y4" t="str">
        <f>U4&amp;V4&amp;W4</f>
        <v>5 Années de formules modifiés cumulées</v>
      </c>
    </row>
    <row r="5" spans="2:25" x14ac:dyDescent="0.25">
      <c r="B5" s="117">
        <f>temps!Y8</f>
        <v>0</v>
      </c>
      <c r="C5" s="1">
        <v>1984</v>
      </c>
      <c r="D5" s="122" t="s">
        <v>191</v>
      </c>
      <c r="E5" s="96" t="s">
        <v>218</v>
      </c>
      <c r="F5" s="121">
        <v>1</v>
      </c>
      <c r="G5" s="96">
        <v>1</v>
      </c>
      <c r="H5" s="96">
        <v>1</v>
      </c>
      <c r="I5" s="96">
        <v>6</v>
      </c>
      <c r="J5" s="96">
        <f>4*9</f>
        <v>36</v>
      </c>
      <c r="K5" s="96">
        <f>I5*J5</f>
        <v>216</v>
      </c>
      <c r="L5" s="96">
        <f t="shared" ref="L5:L26" si="1">L4+K5</f>
        <v>432</v>
      </c>
      <c r="M5" s="96" t="s">
        <v>215</v>
      </c>
      <c r="O5" s="122">
        <f t="shared" si="0"/>
        <v>1</v>
      </c>
      <c r="U5">
        <f>H29</f>
        <v>7</v>
      </c>
      <c r="V5" s="96" t="s">
        <v>212</v>
      </c>
      <c r="W5" s="96" t="s">
        <v>253</v>
      </c>
      <c r="Y5" t="str">
        <f>U5&amp;V5&amp;W5</f>
        <v>7 Années formule découverte cumulées</v>
      </c>
    </row>
    <row r="6" spans="2:25" x14ac:dyDescent="0.25">
      <c r="B6" s="119" t="str">
        <f>temps!N29&amp;temps!V4&amp;temps!W4</f>
        <v>5 Années de formules modifiés cumulées</v>
      </c>
      <c r="D6" s="96" t="s">
        <v>192</v>
      </c>
      <c r="I6" s="96">
        <v>6</v>
      </c>
      <c r="J6" s="96">
        <f>4*9</f>
        <v>36</v>
      </c>
      <c r="K6" s="96">
        <f>I6*J6</f>
        <v>216</v>
      </c>
      <c r="L6" s="96">
        <f t="shared" si="1"/>
        <v>648</v>
      </c>
      <c r="M6" s="96" t="s">
        <v>215</v>
      </c>
      <c r="O6" s="96">
        <f t="shared" si="0"/>
        <v>1</v>
      </c>
      <c r="U6">
        <f>O29</f>
        <v>23</v>
      </c>
      <c r="V6" s="96" t="str">
        <f>AA35</f>
        <v xml:space="preserve"> Années </v>
      </c>
      <c r="W6" s="96" t="s">
        <v>225</v>
      </c>
      <c r="Y6" t="str">
        <f>W6&amp;U6&amp;V6</f>
        <v xml:space="preserve">Mathématique annuelle : 23 Années </v>
      </c>
    </row>
    <row r="7" spans="2:25" x14ac:dyDescent="0.25">
      <c r="B7" s="117" t="str">
        <f>temps!Y5</f>
        <v>7 Années formule découverte cumulées</v>
      </c>
      <c r="D7" s="96" t="s">
        <v>193</v>
      </c>
      <c r="I7" s="96">
        <v>6</v>
      </c>
      <c r="J7" s="96">
        <f>4*9</f>
        <v>36</v>
      </c>
      <c r="K7" s="96">
        <f>I7*J7</f>
        <v>216</v>
      </c>
      <c r="L7" s="96">
        <f t="shared" si="1"/>
        <v>864</v>
      </c>
      <c r="M7" s="96" t="s">
        <v>215</v>
      </c>
      <c r="O7" s="96">
        <f t="shared" si="0"/>
        <v>1</v>
      </c>
      <c r="U7">
        <f>L26</f>
        <v>1752</v>
      </c>
      <c r="V7" s="121" t="s">
        <v>216</v>
      </c>
      <c r="W7" s="121" t="s">
        <v>250</v>
      </c>
      <c r="Y7" t="str">
        <f>U7&amp;V7&amp;W7&amp;W8</f>
        <v xml:space="preserve">1752 heures de mathématique hebodomadaire compilées (83 Mois = 7 ans ) </v>
      </c>
    </row>
    <row r="8" spans="2:25" x14ac:dyDescent="0.25">
      <c r="B8" t="str">
        <f>Y10</f>
        <v/>
      </c>
      <c r="D8" s="96" t="s">
        <v>194</v>
      </c>
      <c r="I8" s="96">
        <v>6</v>
      </c>
      <c r="J8" s="96">
        <f>4*9</f>
        <v>36</v>
      </c>
      <c r="K8" s="96">
        <f>I8*J8</f>
        <v>216</v>
      </c>
      <c r="L8" s="96">
        <f t="shared" si="1"/>
        <v>1080</v>
      </c>
      <c r="M8" s="96" t="s">
        <v>215</v>
      </c>
      <c r="O8" s="96">
        <f t="shared" si="0"/>
        <v>1</v>
      </c>
      <c r="U8">
        <f>U7</f>
        <v>1752</v>
      </c>
      <c r="W8" t="str">
        <f>K41</f>
        <v xml:space="preserve"> (83 Mois = 7 ans ) </v>
      </c>
    </row>
    <row r="9" spans="2:25" x14ac:dyDescent="0.25">
      <c r="B9" s="120" t="str">
        <f>Y13</f>
        <v>Temps total du dossier formulée : 1  ans &amp; 9 Mois</v>
      </c>
      <c r="D9" s="96" t="s">
        <v>195</v>
      </c>
      <c r="L9" s="96">
        <f t="shared" si="1"/>
        <v>1080</v>
      </c>
      <c r="M9" s="96" t="s">
        <v>215</v>
      </c>
      <c r="O9" s="96">
        <f t="shared" si="0"/>
        <v>1</v>
      </c>
      <c r="Y9" t="str">
        <f t="shared" ref="Y9:Y10" si="2">U9&amp;V9&amp;W9</f>
        <v/>
      </c>
    </row>
    <row r="10" spans="2:25" x14ac:dyDescent="0.25">
      <c r="B10" t="str">
        <f>Y14</f>
        <v>Durée Moyenne du dossier formulée : 1 Mois</v>
      </c>
      <c r="D10" s="122" t="s">
        <v>196</v>
      </c>
      <c r="H10" s="96">
        <v>1</v>
      </c>
      <c r="I10" s="96">
        <v>4</v>
      </c>
      <c r="J10" s="96">
        <v>36</v>
      </c>
      <c r="K10" s="96">
        <f>I10*J10</f>
        <v>144</v>
      </c>
      <c r="L10" s="96">
        <f t="shared" si="1"/>
        <v>1224</v>
      </c>
      <c r="M10" s="96" t="s">
        <v>215</v>
      </c>
      <c r="N10" s="96">
        <v>1</v>
      </c>
      <c r="O10" s="96">
        <f t="shared" si="0"/>
        <v>1</v>
      </c>
      <c r="Y10" t="str">
        <f t="shared" si="2"/>
        <v/>
      </c>
    </row>
    <row r="11" spans="2:25" x14ac:dyDescent="0.25">
      <c r="B11" t="str">
        <f>Y13</f>
        <v>Temps total du dossier formulée : 1  ans &amp; 9 Mois</v>
      </c>
      <c r="D11" s="96" t="s">
        <v>214</v>
      </c>
      <c r="I11" s="96">
        <v>4</v>
      </c>
      <c r="J11" s="96">
        <v>36</v>
      </c>
      <c r="K11" s="96">
        <f>I11*J11</f>
        <v>144</v>
      </c>
      <c r="L11" s="96">
        <f t="shared" si="1"/>
        <v>1368</v>
      </c>
      <c r="M11" s="96" t="s">
        <v>215</v>
      </c>
      <c r="O11" s="96">
        <v>1</v>
      </c>
      <c r="S11" s="121" t="str">
        <f>K41</f>
        <v xml:space="preserve"> (83 Mois = 7 ans ) </v>
      </c>
      <c r="V11" s="96"/>
    </row>
    <row r="12" spans="2:25" x14ac:dyDescent="0.25">
      <c r="D12" s="96" t="str">
        <f>D11</f>
        <v>BEP Electrotech</v>
      </c>
      <c r="K12" s="96">
        <f>I12*J12</f>
        <v>0</v>
      </c>
      <c r="L12" s="96">
        <f t="shared" si="1"/>
        <v>1368</v>
      </c>
      <c r="M12" s="96" t="s">
        <v>215</v>
      </c>
      <c r="O12" s="96">
        <v>1</v>
      </c>
    </row>
    <row r="13" spans="2:25" x14ac:dyDescent="0.25">
      <c r="C13" s="1">
        <v>1</v>
      </c>
      <c r="D13" s="122" t="s">
        <v>197</v>
      </c>
      <c r="G13" s="96">
        <v>1</v>
      </c>
      <c r="I13" s="96">
        <v>6</v>
      </c>
      <c r="J13" s="96">
        <f>4*8</f>
        <v>32</v>
      </c>
      <c r="K13" s="96">
        <f>I13*J13</f>
        <v>192</v>
      </c>
      <c r="L13" s="96">
        <f t="shared" si="1"/>
        <v>1560</v>
      </c>
      <c r="M13" s="96" t="s">
        <v>215</v>
      </c>
      <c r="N13" s="96">
        <v>1</v>
      </c>
      <c r="O13" s="122">
        <f>O10</f>
        <v>1</v>
      </c>
      <c r="Q13"/>
      <c r="S13" t="str">
        <f>temps!Q31&amp;temps!S31</f>
        <v>1  ans</v>
      </c>
      <c r="T13"/>
      <c r="U13" t="s">
        <v>210</v>
      </c>
      <c r="V13" t="str">
        <f>temps!Q33&amp;temps!S33</f>
        <v>9 Mois</v>
      </c>
      <c r="W13" t="s">
        <v>222</v>
      </c>
      <c r="Y13" t="str">
        <f>W13&amp;S13&amp;U13&amp;V13</f>
        <v>Temps total du dossier formulée : 1  ans &amp; 9 Mois</v>
      </c>
    </row>
    <row r="14" spans="2:25" x14ac:dyDescent="0.25">
      <c r="C14" s="1">
        <v>1</v>
      </c>
      <c r="D14" s="122" t="s">
        <v>197</v>
      </c>
      <c r="E14" s="96" t="s">
        <v>209</v>
      </c>
      <c r="F14" s="121">
        <v>1</v>
      </c>
      <c r="G14" s="96">
        <v>1</v>
      </c>
      <c r="H14" s="96">
        <v>1</v>
      </c>
      <c r="I14" s="96">
        <v>6</v>
      </c>
      <c r="J14" s="96">
        <f>4*8</f>
        <v>32</v>
      </c>
      <c r="K14" s="96">
        <f>I14*J14</f>
        <v>192</v>
      </c>
      <c r="L14" s="96">
        <f t="shared" si="1"/>
        <v>1752</v>
      </c>
      <c r="M14" s="96" t="s">
        <v>215</v>
      </c>
      <c r="N14" s="96">
        <v>1</v>
      </c>
      <c r="O14" s="122">
        <f t="shared" ref="O14:O25" si="3">O13</f>
        <v>1</v>
      </c>
      <c r="U14">
        <v>1</v>
      </c>
      <c r="V14" t="s">
        <v>207</v>
      </c>
      <c r="W14" t="s">
        <v>221</v>
      </c>
      <c r="Y14" t="str">
        <f>W14&amp;U14&amp;V14</f>
        <v>Durée Moyenne du dossier formulée : 1 Mois</v>
      </c>
    </row>
    <row r="15" spans="2:25" x14ac:dyDescent="0.25">
      <c r="D15" s="96">
        <v>1993</v>
      </c>
      <c r="L15" s="96">
        <f t="shared" si="1"/>
        <v>1752</v>
      </c>
      <c r="M15" s="96" t="s">
        <v>215</v>
      </c>
      <c r="N15" s="96">
        <v>1</v>
      </c>
      <c r="O15" s="96">
        <f t="shared" si="3"/>
        <v>1</v>
      </c>
      <c r="P15" s="96">
        <v>1</v>
      </c>
    </row>
    <row r="16" spans="2:25" x14ac:dyDescent="0.25">
      <c r="D16" s="96">
        <v>1995</v>
      </c>
      <c r="H16" s="96">
        <v>1</v>
      </c>
      <c r="L16" s="96">
        <f t="shared" si="1"/>
        <v>1752</v>
      </c>
      <c r="M16" s="96" t="s">
        <v>215</v>
      </c>
      <c r="O16" s="96">
        <f t="shared" si="3"/>
        <v>1</v>
      </c>
      <c r="P16" s="96">
        <v>1</v>
      </c>
      <c r="U16">
        <f>F29</f>
        <v>8</v>
      </c>
      <c r="V16" t="s">
        <v>230</v>
      </c>
      <c r="W16" t="str">
        <f>U16&amp;V16&amp;" / "&amp;U17&amp;V17&amp;" = "&amp;U21&amp;V21</f>
        <v>8 années / 23ans = 34,78%</v>
      </c>
    </row>
    <row r="17" spans="3:27" x14ac:dyDescent="0.25">
      <c r="D17" s="96">
        <v>1999</v>
      </c>
      <c r="E17" s="96" t="s">
        <v>208</v>
      </c>
      <c r="F17" s="121">
        <v>1</v>
      </c>
      <c r="H17" s="96">
        <v>1</v>
      </c>
      <c r="L17" s="96">
        <f t="shared" si="1"/>
        <v>1752</v>
      </c>
      <c r="M17" s="96" t="s">
        <v>215</v>
      </c>
      <c r="N17" s="96">
        <v>1</v>
      </c>
      <c r="O17" s="96">
        <f t="shared" si="3"/>
        <v>1</v>
      </c>
      <c r="U17">
        <f>O29</f>
        <v>23</v>
      </c>
      <c r="V17" t="s">
        <v>205</v>
      </c>
      <c r="W17" t="s">
        <v>231</v>
      </c>
      <c r="Y17" t="str">
        <f>W17&amp;W16</f>
        <v>Nombre d'année d'idée fondamentale : 8 années / 23ans = 34,78%</v>
      </c>
    </row>
    <row r="18" spans="3:27" x14ac:dyDescent="0.25">
      <c r="D18" s="96">
        <v>2000</v>
      </c>
      <c r="L18" s="96">
        <f t="shared" si="1"/>
        <v>1752</v>
      </c>
      <c r="M18" s="96" t="s">
        <v>215</v>
      </c>
      <c r="O18" s="96">
        <f t="shared" si="3"/>
        <v>1</v>
      </c>
      <c r="P18" s="96">
        <v>1</v>
      </c>
      <c r="U18">
        <f>F31</f>
        <v>0.34782608695652173</v>
      </c>
    </row>
    <row r="19" spans="3:27" x14ac:dyDescent="0.25">
      <c r="D19" s="96">
        <v>2001</v>
      </c>
      <c r="E19" s="96" t="s">
        <v>199</v>
      </c>
      <c r="F19" s="121">
        <v>1</v>
      </c>
      <c r="L19" s="96">
        <f t="shared" si="1"/>
        <v>1752</v>
      </c>
      <c r="M19" s="96" t="s">
        <v>215</v>
      </c>
      <c r="O19" s="96">
        <f t="shared" si="3"/>
        <v>1</v>
      </c>
      <c r="P19" s="96">
        <v>1</v>
      </c>
      <c r="U19" s="123">
        <f>U18</f>
        <v>0.34782608695652173</v>
      </c>
      <c r="V19" s="5" t="s">
        <v>149</v>
      </c>
    </row>
    <row r="20" spans="3:27" x14ac:dyDescent="0.25">
      <c r="D20" s="96">
        <v>2002</v>
      </c>
      <c r="E20" s="96" t="s">
        <v>200</v>
      </c>
      <c r="F20" s="121">
        <v>1</v>
      </c>
      <c r="L20" s="96">
        <f t="shared" si="1"/>
        <v>1752</v>
      </c>
      <c r="M20" s="96" t="s">
        <v>215</v>
      </c>
      <c r="O20" s="96">
        <f t="shared" si="3"/>
        <v>1</v>
      </c>
      <c r="U20" t="str">
        <f>MID(U19,1,6)</f>
        <v>0,3478</v>
      </c>
      <c r="Y20" s="119" t="s">
        <v>234</v>
      </c>
    </row>
    <row r="21" spans="3:27" x14ac:dyDescent="0.25">
      <c r="D21" s="96" t="s">
        <v>198</v>
      </c>
      <c r="L21" s="96">
        <f t="shared" si="1"/>
        <v>1752</v>
      </c>
      <c r="M21" s="96" t="s">
        <v>215</v>
      </c>
      <c r="O21" s="96">
        <f t="shared" si="3"/>
        <v>1</v>
      </c>
      <c r="U21">
        <f>U20*100</f>
        <v>34.78</v>
      </c>
      <c r="V21" t="str">
        <f>V19</f>
        <v>%</v>
      </c>
      <c r="Y21" s="119" t="str">
        <f>Y7</f>
        <v xml:space="preserve">1752 heures de mathématique hebodomadaire compilées (83 Mois = 7 ans ) </v>
      </c>
    </row>
    <row r="22" spans="3:27" x14ac:dyDescent="0.25">
      <c r="D22" s="96">
        <v>2007</v>
      </c>
      <c r="L22" s="96">
        <f t="shared" si="1"/>
        <v>1752</v>
      </c>
      <c r="M22" s="96" t="s">
        <v>215</v>
      </c>
      <c r="O22" s="96">
        <f t="shared" si="3"/>
        <v>1</v>
      </c>
      <c r="Y22" s="119" t="s">
        <v>224</v>
      </c>
    </row>
    <row r="23" spans="3:27" x14ac:dyDescent="0.25">
      <c r="D23" s="96">
        <v>2008</v>
      </c>
      <c r="E23" s="96" t="s">
        <v>201</v>
      </c>
      <c r="F23" s="121">
        <v>1</v>
      </c>
      <c r="L23" s="96">
        <f t="shared" si="1"/>
        <v>1752</v>
      </c>
      <c r="M23" s="96" t="s">
        <v>215</v>
      </c>
      <c r="O23" s="96">
        <f t="shared" si="3"/>
        <v>1</v>
      </c>
      <c r="Y23" t="s">
        <v>244</v>
      </c>
    </row>
    <row r="24" spans="3:27" x14ac:dyDescent="0.25">
      <c r="D24" s="96">
        <v>2009</v>
      </c>
      <c r="L24" s="96">
        <f t="shared" si="1"/>
        <v>1752</v>
      </c>
      <c r="M24" s="96" t="s">
        <v>215</v>
      </c>
      <c r="O24" s="122">
        <f t="shared" si="3"/>
        <v>1</v>
      </c>
      <c r="P24" s="96">
        <v>1</v>
      </c>
      <c r="Y24" t="s">
        <v>232</v>
      </c>
    </row>
    <row r="25" spans="3:27" x14ac:dyDescent="0.25">
      <c r="D25" s="122">
        <v>2015</v>
      </c>
      <c r="E25" s="96" t="s">
        <v>202</v>
      </c>
      <c r="F25" s="121">
        <v>1</v>
      </c>
      <c r="H25" s="96">
        <v>1</v>
      </c>
      <c r="L25" s="96">
        <f t="shared" si="1"/>
        <v>1752</v>
      </c>
      <c r="M25" s="96" t="s">
        <v>215</v>
      </c>
      <c r="O25" s="122">
        <f t="shared" si="3"/>
        <v>1</v>
      </c>
      <c r="P25" s="96">
        <v>1</v>
      </c>
      <c r="Y25" s="119"/>
    </row>
    <row r="26" spans="3:27" x14ac:dyDescent="0.25">
      <c r="D26" s="122">
        <v>2017</v>
      </c>
      <c r="E26" s="96" t="s">
        <v>86</v>
      </c>
      <c r="F26" s="121">
        <v>1</v>
      </c>
      <c r="H26" s="96">
        <v>1</v>
      </c>
      <c r="L26" s="96">
        <f t="shared" si="1"/>
        <v>1752</v>
      </c>
      <c r="M26" s="96" t="s">
        <v>215</v>
      </c>
      <c r="Q26" s="96">
        <v>21</v>
      </c>
      <c r="Y26" s="119" t="s">
        <v>227</v>
      </c>
    </row>
    <row r="27" spans="3:27" x14ac:dyDescent="0.25">
      <c r="D27" s="122"/>
      <c r="Y27" s="119" t="s">
        <v>233</v>
      </c>
    </row>
    <row r="28" spans="3:27" x14ac:dyDescent="0.25">
      <c r="D28" s="122"/>
      <c r="Y28" s="119" t="s">
        <v>236</v>
      </c>
    </row>
    <row r="29" spans="3:27" x14ac:dyDescent="0.25">
      <c r="C29" s="1">
        <v>2</v>
      </c>
      <c r="F29" s="121">
        <f>SUM(F5:F26)</f>
        <v>8</v>
      </c>
      <c r="G29" s="96">
        <f>SUM(G4:G26)</f>
        <v>3</v>
      </c>
      <c r="H29" s="96">
        <f>SUM(H4:H26)</f>
        <v>7</v>
      </c>
      <c r="K29" s="96">
        <f>SUM(K4:K26)</f>
        <v>1752</v>
      </c>
      <c r="N29" s="96">
        <f>SUM(N4:N26)</f>
        <v>5</v>
      </c>
      <c r="O29" s="96">
        <f>F30</f>
        <v>23</v>
      </c>
      <c r="P29" s="96">
        <f>SUM(P4:P26)</f>
        <v>6</v>
      </c>
      <c r="Q29" s="96">
        <v>12</v>
      </c>
      <c r="Y29" s="119" t="s">
        <v>223</v>
      </c>
    </row>
    <row r="30" spans="3:27" x14ac:dyDescent="0.25">
      <c r="E30" s="96" t="s">
        <v>412</v>
      </c>
      <c r="F30" s="121">
        <v>23</v>
      </c>
      <c r="Q30" s="96">
        <f>Q26/Q29</f>
        <v>1.75</v>
      </c>
      <c r="Y30" s="119" t="s">
        <v>226</v>
      </c>
      <c r="Z30" s="96"/>
    </row>
    <row r="31" spans="3:27" x14ac:dyDescent="0.25">
      <c r="E31" s="98" t="s">
        <v>104</v>
      </c>
      <c r="F31" s="121">
        <f>F29/F30</f>
        <v>0.34782608695652173</v>
      </c>
      <c r="K31" s="96">
        <v>12</v>
      </c>
      <c r="Q31" s="96">
        <f>INT(Q30)</f>
        <v>1</v>
      </c>
      <c r="S31" s="96" t="s">
        <v>206</v>
      </c>
      <c r="Y31" s="117" t="s">
        <v>228</v>
      </c>
      <c r="Z31" s="96"/>
    </row>
    <row r="32" spans="3:27" x14ac:dyDescent="0.25">
      <c r="K32" s="96">
        <f>K42/K31</f>
        <v>6.9523809523809526</v>
      </c>
      <c r="L32" s="96" t="s">
        <v>205</v>
      </c>
      <c r="Q32" s="96">
        <f>Q30-Q31</f>
        <v>0.75</v>
      </c>
      <c r="V32" s="96"/>
      <c r="Y32" s="117" t="s">
        <v>229</v>
      </c>
      <c r="Z32" s="96"/>
      <c r="AA32" s="96"/>
    </row>
    <row r="33" spans="11:28" x14ac:dyDescent="0.25">
      <c r="K33" s="96">
        <f>ROUND(K32,1)</f>
        <v>7</v>
      </c>
      <c r="L33" s="96" t="s">
        <v>211</v>
      </c>
      <c r="Q33" s="96">
        <f>Q32*12</f>
        <v>9</v>
      </c>
      <c r="S33" s="96" t="s">
        <v>207</v>
      </c>
      <c r="U33" s="96"/>
      <c r="Y33" t="s">
        <v>235</v>
      </c>
      <c r="Z33" s="96"/>
      <c r="AA33" s="96"/>
    </row>
    <row r="34" spans="11:28" x14ac:dyDescent="0.25">
      <c r="K34" s="96">
        <f>ROUND(K42,0)</f>
        <v>83</v>
      </c>
      <c r="L34" s="96" t="s">
        <v>207</v>
      </c>
      <c r="Q34" s="96" t="str">
        <f>Q31&amp;Q33</f>
        <v>19</v>
      </c>
      <c r="U34" s="96"/>
      <c r="V34" s="96"/>
      <c r="X34" s="96"/>
      <c r="Y34" s="96"/>
      <c r="Z34" s="96"/>
      <c r="AA34" s="96"/>
      <c r="AB34" s="96"/>
    </row>
    <row r="35" spans="11:28" x14ac:dyDescent="0.25">
      <c r="Q35" s="96" t="s">
        <v>207</v>
      </c>
      <c r="U35" s="96"/>
      <c r="V35" s="96"/>
      <c r="X35" s="96"/>
      <c r="Y35" s="96"/>
      <c r="Z35" s="96"/>
      <c r="AA35" s="96" t="str">
        <f>V5</f>
        <v xml:space="preserve"> Années </v>
      </c>
      <c r="AB35" s="96"/>
    </row>
    <row r="36" spans="11:28" x14ac:dyDescent="0.25">
      <c r="K36" s="96" t="s">
        <v>153</v>
      </c>
      <c r="Q36" s="96" t="str">
        <f>Q34&amp;Q35</f>
        <v>19 Mois</v>
      </c>
      <c r="U36" s="96"/>
      <c r="V36" s="96"/>
      <c r="X36" s="96"/>
      <c r="Y36" s="96"/>
      <c r="Z36" s="96"/>
      <c r="AA36" s="96" t="s">
        <v>213</v>
      </c>
      <c r="AB36" s="96"/>
    </row>
    <row r="37" spans="11:28" x14ac:dyDescent="0.25">
      <c r="K37" s="96" t="str">
        <f>K33&amp;L33</f>
        <v>7 ans</v>
      </c>
      <c r="V37" s="96"/>
      <c r="Z37" s="96"/>
      <c r="AA37" s="96"/>
      <c r="AB37" s="96"/>
    </row>
    <row r="38" spans="11:28" x14ac:dyDescent="0.25">
      <c r="K38" s="98" t="s">
        <v>147</v>
      </c>
    </row>
    <row r="39" spans="11:28" x14ac:dyDescent="0.25">
      <c r="K39" s="96" t="str">
        <f>K34&amp;L34</f>
        <v>83 Mois</v>
      </c>
    </row>
    <row r="40" spans="11:28" x14ac:dyDescent="0.25">
      <c r="K40" s="96" t="s">
        <v>217</v>
      </c>
    </row>
    <row r="41" spans="11:28" x14ac:dyDescent="0.25">
      <c r="K41" s="96" t="str">
        <f>K40&amp;K39&amp;K38&amp;K37&amp;K36</f>
        <v xml:space="preserve"> (83 Mois = 7 ans ) </v>
      </c>
    </row>
    <row r="42" spans="11:28" x14ac:dyDescent="0.25">
      <c r="K42" s="96">
        <f>K29/21</f>
        <v>83.428571428571431</v>
      </c>
    </row>
  </sheetData>
  <mergeCells count="1">
    <mergeCell ref="J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nb formule</vt:lpstr>
      <vt:lpstr>nb form photos</vt:lpstr>
      <vt:lpstr>nb pages</vt:lpstr>
      <vt:lpstr>découverte</vt:lpstr>
      <vt:lpstr>objet construit</vt:lpstr>
      <vt:lpstr>Temps 2</vt:lpstr>
      <vt:lpstr>temps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Axelle</dc:creator>
  <cp:lastModifiedBy>Axelle</cp:lastModifiedBy>
  <cp:lastPrinted>2017-04-15T02:02:32Z</cp:lastPrinted>
  <dcterms:created xsi:type="dcterms:W3CDTF">2017-01-01T12:39:40Z</dcterms:created>
  <dcterms:modified xsi:type="dcterms:W3CDTF">2019-09-14T01:19:51Z</dcterms:modified>
</cp:coreProperties>
</file>