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0" yWindow="65521" windowWidth="7665" windowHeight="8505" activeTab="0"/>
  </bookViews>
  <sheets>
    <sheet name="كشف الراتب" sheetId="1" r:id="rId1"/>
    <sheet name="Moutaferikate" sheetId="2" state="hidden" r:id="rId2"/>
    <sheet name="Feuil1" sheetId="3" state="hidden" r:id="rId3"/>
  </sheets>
  <definedNames>
    <definedName name="cf">'Moutaferikate'!$F$17:$F$19</definedName>
    <definedName name="classe">'Moutaferikate'!$A$7:$A$15</definedName>
    <definedName name="data">'Moutaferikate'!$A$6:$O$15</definedName>
    <definedName name="ech">'Moutaferikate'!$C$6:$O$6</definedName>
    <definedName name="IRG">'Moutaferikate'!$R$20</definedName>
    <definedName name="minatec">'Moutaferikate'!$I$18:$I$19</definedName>
    <definedName name="resp">'Moutaferikate'!$Q$21:$Q$31</definedName>
    <definedName name="tra">'Moutaferikate'!$G$17:$G$19</definedName>
  </definedNames>
  <calcPr fullCalcOnLoad="1"/>
</workbook>
</file>

<file path=xl/comments1.xml><?xml version="1.0" encoding="utf-8"?>
<comments xmlns="http://schemas.openxmlformats.org/spreadsheetml/2006/main">
  <authors>
    <author>SIFOUR HOCINE</author>
  </authors>
  <commentList>
    <comment ref="B3" authorId="0">
      <text>
        <r>
          <rPr>
            <b/>
            <sz val="8"/>
            <rFont val="Tahoma"/>
            <family val="0"/>
          </rPr>
          <t>SIFOUR HOCINE:</t>
        </r>
        <r>
          <rPr>
            <sz val="8"/>
            <rFont val="Tahoma"/>
            <family val="0"/>
          </rPr>
          <t xml:space="preserve">
أدخل </t>
        </r>
        <r>
          <rPr>
            <b/>
            <sz val="8"/>
            <color indexed="10"/>
            <rFont val="Tahoma"/>
            <family val="2"/>
          </rPr>
          <t>الصنف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المناسب</t>
        </r>
        <r>
          <rPr>
            <sz val="8"/>
            <rFont val="Tahoma"/>
            <family val="0"/>
          </rPr>
          <t xml:space="preserve"> </t>
        </r>
        <r>
          <rPr>
            <b/>
            <sz val="8"/>
            <color indexed="10"/>
            <rFont val="Tahoma"/>
            <family val="2"/>
          </rPr>
          <t>لمنصبك</t>
        </r>
        <r>
          <rPr>
            <sz val="8"/>
            <rFont val="Tahoma"/>
            <family val="0"/>
          </rPr>
          <t xml:space="preserve"> من القائمة المنسدلة</t>
        </r>
      </text>
    </comment>
    <comment ref="B4" authorId="0">
      <text>
        <r>
          <rPr>
            <b/>
            <sz val="8"/>
            <rFont val="Tahoma"/>
            <family val="0"/>
          </rPr>
          <t>SIFOUR HOCINE:</t>
        </r>
        <r>
          <rPr>
            <sz val="8"/>
            <rFont val="Tahoma"/>
            <family val="0"/>
          </rPr>
          <t xml:space="preserve">
أدخل </t>
        </r>
        <r>
          <rPr>
            <b/>
            <sz val="8"/>
            <color indexed="10"/>
            <rFont val="Tahoma"/>
            <family val="2"/>
          </rPr>
          <t>الدرجة</t>
        </r>
        <r>
          <rPr>
            <sz val="8"/>
            <rFont val="Tahoma"/>
            <family val="0"/>
          </rPr>
          <t xml:space="preserve"> من القائمة المنسدلة</t>
        </r>
      </text>
    </comment>
    <comment ref="F5" authorId="0">
      <text>
        <r>
          <rPr>
            <b/>
            <sz val="8"/>
            <rFont val="Tahoma"/>
            <family val="0"/>
          </rPr>
          <t>SIFOUR HOCINE:</t>
        </r>
        <r>
          <rPr>
            <sz val="8"/>
            <rFont val="Tahoma"/>
            <family val="0"/>
          </rPr>
          <t xml:space="preserve">
أختر </t>
        </r>
        <r>
          <rPr>
            <b/>
            <sz val="8"/>
            <color indexed="10"/>
            <rFont val="Tahoma"/>
            <family val="2"/>
          </rPr>
          <t>الجواب</t>
        </r>
        <r>
          <rPr>
            <sz val="8"/>
            <rFont val="Tahoma"/>
            <family val="0"/>
          </rPr>
          <t xml:space="preserve"> من القائمة المنسدلة</t>
        </r>
      </text>
    </comment>
    <comment ref="F7" authorId="0">
      <text>
        <r>
          <rPr>
            <b/>
            <sz val="8"/>
            <rFont val="Tahoma"/>
            <family val="0"/>
          </rPr>
          <t>SIFOUR HOCINE:</t>
        </r>
        <r>
          <rPr>
            <sz val="8"/>
            <rFont val="Tahoma"/>
            <family val="0"/>
          </rPr>
          <t xml:space="preserve">
أدخل </t>
        </r>
        <r>
          <rPr>
            <b/>
            <sz val="8"/>
            <color indexed="10"/>
            <rFont val="Tahoma"/>
            <family val="2"/>
          </rPr>
          <t>عدد أيام</t>
        </r>
        <r>
          <rPr>
            <sz val="8"/>
            <rFont val="Tahoma"/>
            <family val="0"/>
          </rPr>
          <t xml:space="preserve"> الغيابات</t>
        </r>
      </text>
    </comment>
    <comment ref="F3" authorId="0">
      <text>
        <r>
          <rPr>
            <b/>
            <sz val="8"/>
            <rFont val="Tahoma"/>
            <family val="0"/>
          </rPr>
          <t>SIFOUR HOCINE:</t>
        </r>
        <r>
          <rPr>
            <sz val="8"/>
            <rFont val="Tahoma"/>
            <family val="0"/>
          </rPr>
          <t xml:space="preserve">
أختر </t>
        </r>
        <r>
          <rPr>
            <sz val="9"/>
            <color indexed="10"/>
            <rFont val="Tahoma"/>
            <family val="2"/>
          </rPr>
          <t>نوع المنصب النوعي</t>
        </r>
        <r>
          <rPr>
            <sz val="8"/>
            <rFont val="Tahoma"/>
            <family val="0"/>
          </rPr>
          <t xml:space="preserve"> من القائمة المنسدلة</t>
        </r>
      </text>
    </comment>
    <comment ref="H10" authorId="0">
      <text>
        <r>
          <rPr>
            <b/>
            <sz val="8"/>
            <rFont val="Tahoma"/>
            <family val="0"/>
          </rPr>
          <t>SIFOUR HOCINE:</t>
        </r>
        <r>
          <rPr>
            <sz val="8"/>
            <rFont val="Tahoma"/>
            <family val="0"/>
          </rPr>
          <t xml:space="preserve">
أدخل الحالة العائلية من القائمة المنسدلة</t>
        </r>
      </text>
    </comment>
    <comment ref="H12" authorId="0">
      <text>
        <r>
          <rPr>
            <b/>
            <sz val="8"/>
            <rFont val="Tahoma"/>
            <family val="0"/>
          </rPr>
          <t>SIFOUR HOCINE:</t>
        </r>
        <r>
          <rPr>
            <sz val="8"/>
            <rFont val="Tahoma"/>
            <family val="0"/>
          </rPr>
          <t xml:space="preserve">
أدخل من القائمة المنسدلة وضعية الزوج أو الزوجة</t>
        </r>
      </text>
    </comment>
    <comment ref="H14" authorId="0">
      <text>
        <r>
          <rPr>
            <b/>
            <sz val="8"/>
            <rFont val="Tahoma"/>
            <family val="0"/>
          </rPr>
          <t>SIFOUR HOCINE:</t>
        </r>
        <r>
          <rPr>
            <sz val="8"/>
            <rFont val="Tahoma"/>
            <family val="0"/>
          </rPr>
          <t xml:space="preserve">
إذا كنت </t>
        </r>
        <r>
          <rPr>
            <b/>
            <sz val="8"/>
            <color indexed="10"/>
            <rFont val="Tahoma"/>
            <family val="2"/>
          </rPr>
          <t>أعزب</t>
        </r>
        <r>
          <rPr>
            <sz val="8"/>
            <rFont val="Tahoma"/>
            <family val="0"/>
          </rPr>
          <t xml:space="preserve"> أدخل </t>
        </r>
        <r>
          <rPr>
            <sz val="8"/>
            <color indexed="10"/>
            <rFont val="Tahoma"/>
            <family val="2"/>
          </rPr>
          <t>0</t>
        </r>
        <r>
          <rPr>
            <sz val="8"/>
            <rFont val="Tahoma"/>
            <family val="0"/>
          </rPr>
          <t xml:space="preserve"> وإذا كنت </t>
        </r>
        <r>
          <rPr>
            <b/>
            <sz val="8"/>
            <color indexed="10"/>
            <rFont val="Tahoma"/>
            <family val="2"/>
          </rPr>
          <t>متزوج</t>
        </r>
        <r>
          <rPr>
            <sz val="8"/>
            <rFont val="Tahoma"/>
            <family val="0"/>
          </rPr>
          <t xml:space="preserve"> أو </t>
        </r>
        <r>
          <rPr>
            <b/>
            <sz val="8"/>
            <color indexed="10"/>
            <rFont val="Tahoma"/>
            <family val="2"/>
          </rPr>
          <t>أرمل</t>
        </r>
        <r>
          <rPr>
            <sz val="8"/>
            <rFont val="Tahoma"/>
            <family val="0"/>
          </rPr>
          <t xml:space="preserve"> أدخل </t>
        </r>
        <r>
          <rPr>
            <b/>
            <sz val="8"/>
            <color indexed="10"/>
            <rFont val="Tahoma"/>
            <family val="2"/>
          </rPr>
          <t>عدد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0"/>
          </rPr>
          <t xml:space="preserve">الأولاد </t>
        </r>
        <r>
          <rPr>
            <b/>
            <sz val="8"/>
            <color indexed="10"/>
            <rFont val="Tahoma"/>
            <family val="2"/>
          </rPr>
          <t>الخاضعين</t>
        </r>
        <r>
          <rPr>
            <sz val="8"/>
            <rFont val="Tahoma"/>
            <family val="0"/>
          </rPr>
          <t xml:space="preserve"> للمنحة</t>
        </r>
      </text>
    </comment>
    <comment ref="H16" authorId="0">
      <text>
        <r>
          <rPr>
            <b/>
            <sz val="8"/>
            <rFont val="Tahoma"/>
            <family val="0"/>
          </rPr>
          <t>SIFOUR HOCINE:</t>
        </r>
        <r>
          <rPr>
            <sz val="8"/>
            <rFont val="Tahoma"/>
            <family val="0"/>
          </rPr>
          <t xml:space="preserve">
أدخل عدد الأولاد التي أعمارهم أكبر من 10 سنوات والحاضعين للمنحة</t>
        </r>
      </text>
    </comment>
    <comment ref="H18" authorId="0">
      <text>
        <r>
          <rPr>
            <b/>
            <sz val="8"/>
            <rFont val="Tahoma"/>
            <family val="0"/>
          </rPr>
          <t>SIFOUR HOCINE:</t>
        </r>
        <r>
          <rPr>
            <sz val="8"/>
            <rFont val="Tahoma"/>
            <family val="0"/>
          </rPr>
          <t xml:space="preserve">
أدخل علامة المردودية تكون على 40</t>
        </r>
      </text>
    </comment>
  </commentList>
</comments>
</file>

<file path=xl/comments3.xml><?xml version="1.0" encoding="utf-8"?>
<comments xmlns="http://schemas.openxmlformats.org/spreadsheetml/2006/main">
  <authors>
    <author>SIFOUR HOCINE</author>
  </authors>
  <commentList>
    <comment ref="B1" authorId="0">
      <text>
        <r>
          <rPr>
            <b/>
            <sz val="8"/>
            <rFont val="Tahoma"/>
            <family val="0"/>
          </rPr>
          <t>SIFOUR HOCINE:</t>
        </r>
        <r>
          <rPr>
            <sz val="8"/>
            <rFont val="Tahoma"/>
            <family val="0"/>
          </rPr>
          <t xml:space="preserve">
أدخل </t>
        </r>
        <r>
          <rPr>
            <b/>
            <sz val="8"/>
            <color indexed="10"/>
            <rFont val="Tahoma"/>
            <family val="2"/>
          </rPr>
          <t>الصنف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المناسب</t>
        </r>
        <r>
          <rPr>
            <sz val="8"/>
            <rFont val="Tahoma"/>
            <family val="0"/>
          </rPr>
          <t xml:space="preserve"> </t>
        </r>
        <r>
          <rPr>
            <b/>
            <sz val="8"/>
            <color indexed="10"/>
            <rFont val="Tahoma"/>
            <family val="2"/>
          </rPr>
          <t>لمنصبك</t>
        </r>
        <r>
          <rPr>
            <sz val="8"/>
            <rFont val="Tahoma"/>
            <family val="0"/>
          </rPr>
          <t xml:space="preserve"> من القائمة المنسدلة</t>
        </r>
      </text>
    </comment>
    <comment ref="F1" authorId="0">
      <text>
        <r>
          <rPr>
            <b/>
            <sz val="8"/>
            <rFont val="Tahoma"/>
            <family val="0"/>
          </rPr>
          <t>SIFOUR HOCINE:</t>
        </r>
        <r>
          <rPr>
            <sz val="8"/>
            <rFont val="Tahoma"/>
            <family val="0"/>
          </rPr>
          <t xml:space="preserve">
أختر </t>
        </r>
        <r>
          <rPr>
            <sz val="9"/>
            <color indexed="10"/>
            <rFont val="Tahoma"/>
            <family val="2"/>
          </rPr>
          <t>نوع المنصب النوعي</t>
        </r>
        <r>
          <rPr>
            <sz val="8"/>
            <rFont val="Tahoma"/>
            <family val="0"/>
          </rPr>
          <t xml:space="preserve"> من القائمة المنسدلة</t>
        </r>
      </text>
    </comment>
    <comment ref="B2" authorId="0">
      <text>
        <r>
          <rPr>
            <b/>
            <sz val="8"/>
            <rFont val="Tahoma"/>
            <family val="0"/>
          </rPr>
          <t>SIFOUR HOCINE:</t>
        </r>
        <r>
          <rPr>
            <sz val="8"/>
            <rFont val="Tahoma"/>
            <family val="0"/>
          </rPr>
          <t xml:space="preserve">
أدخل </t>
        </r>
        <r>
          <rPr>
            <b/>
            <sz val="8"/>
            <color indexed="10"/>
            <rFont val="Tahoma"/>
            <family val="2"/>
          </rPr>
          <t>الدرجة</t>
        </r>
        <r>
          <rPr>
            <sz val="8"/>
            <rFont val="Tahoma"/>
            <family val="0"/>
          </rPr>
          <t xml:space="preserve"> من القائمة المنسدلة</t>
        </r>
      </text>
    </comment>
    <comment ref="F3" authorId="0">
      <text>
        <r>
          <rPr>
            <b/>
            <sz val="8"/>
            <rFont val="Tahoma"/>
            <family val="0"/>
          </rPr>
          <t>SIFOUR HOCINE:</t>
        </r>
        <r>
          <rPr>
            <sz val="8"/>
            <rFont val="Tahoma"/>
            <family val="0"/>
          </rPr>
          <t xml:space="preserve">
أختر </t>
        </r>
        <r>
          <rPr>
            <b/>
            <sz val="8"/>
            <color indexed="10"/>
            <rFont val="Tahoma"/>
            <family val="2"/>
          </rPr>
          <t>الجواب</t>
        </r>
        <r>
          <rPr>
            <sz val="8"/>
            <rFont val="Tahoma"/>
            <family val="0"/>
          </rPr>
          <t xml:space="preserve"> من القائمة المنسدلة</t>
        </r>
      </text>
    </comment>
    <comment ref="F5" authorId="0">
      <text>
        <r>
          <rPr>
            <b/>
            <sz val="8"/>
            <rFont val="Tahoma"/>
            <family val="0"/>
          </rPr>
          <t>SIFOUR HOCINE:</t>
        </r>
        <r>
          <rPr>
            <sz val="8"/>
            <rFont val="Tahoma"/>
            <family val="0"/>
          </rPr>
          <t xml:space="preserve">
أدخل </t>
        </r>
        <r>
          <rPr>
            <b/>
            <sz val="8"/>
            <color indexed="10"/>
            <rFont val="Tahoma"/>
            <family val="2"/>
          </rPr>
          <t>عدد أيام</t>
        </r>
        <r>
          <rPr>
            <sz val="8"/>
            <rFont val="Tahoma"/>
            <family val="0"/>
          </rPr>
          <t xml:space="preserve"> الغيابات</t>
        </r>
      </text>
    </comment>
    <comment ref="H8" authorId="0">
      <text>
        <r>
          <rPr>
            <b/>
            <sz val="8"/>
            <rFont val="Tahoma"/>
            <family val="0"/>
          </rPr>
          <t>SIFOUR HOCINE:</t>
        </r>
        <r>
          <rPr>
            <sz val="8"/>
            <rFont val="Tahoma"/>
            <family val="0"/>
          </rPr>
          <t xml:space="preserve">
أدخل الحالة العائلية من القائمة المنسدلة</t>
        </r>
      </text>
    </comment>
    <comment ref="H10" authorId="0">
      <text>
        <r>
          <rPr>
            <b/>
            <sz val="8"/>
            <rFont val="Tahoma"/>
            <family val="0"/>
          </rPr>
          <t>SIFOUR HOCINE:</t>
        </r>
        <r>
          <rPr>
            <sz val="8"/>
            <rFont val="Tahoma"/>
            <family val="0"/>
          </rPr>
          <t xml:space="preserve">
أدخل من القائمة المنسدلة وضعية الزوج أو الزوجة</t>
        </r>
      </text>
    </comment>
    <comment ref="H12" authorId="0">
      <text>
        <r>
          <rPr>
            <b/>
            <sz val="8"/>
            <rFont val="Tahoma"/>
            <family val="0"/>
          </rPr>
          <t>SIFOUR HOCINE:</t>
        </r>
        <r>
          <rPr>
            <sz val="8"/>
            <rFont val="Tahoma"/>
            <family val="0"/>
          </rPr>
          <t xml:space="preserve">
إذا كنت </t>
        </r>
        <r>
          <rPr>
            <b/>
            <sz val="8"/>
            <color indexed="10"/>
            <rFont val="Tahoma"/>
            <family val="2"/>
          </rPr>
          <t>أعزب</t>
        </r>
        <r>
          <rPr>
            <sz val="8"/>
            <rFont val="Tahoma"/>
            <family val="0"/>
          </rPr>
          <t xml:space="preserve"> أدخل </t>
        </r>
        <r>
          <rPr>
            <sz val="8"/>
            <color indexed="10"/>
            <rFont val="Tahoma"/>
            <family val="2"/>
          </rPr>
          <t>0</t>
        </r>
        <r>
          <rPr>
            <sz val="8"/>
            <rFont val="Tahoma"/>
            <family val="0"/>
          </rPr>
          <t xml:space="preserve"> وإذا كنت </t>
        </r>
        <r>
          <rPr>
            <b/>
            <sz val="8"/>
            <color indexed="10"/>
            <rFont val="Tahoma"/>
            <family val="2"/>
          </rPr>
          <t>متزوج</t>
        </r>
        <r>
          <rPr>
            <sz val="8"/>
            <rFont val="Tahoma"/>
            <family val="0"/>
          </rPr>
          <t xml:space="preserve"> أو </t>
        </r>
        <r>
          <rPr>
            <b/>
            <sz val="8"/>
            <color indexed="10"/>
            <rFont val="Tahoma"/>
            <family val="2"/>
          </rPr>
          <t>أرمل</t>
        </r>
        <r>
          <rPr>
            <sz val="8"/>
            <rFont val="Tahoma"/>
            <family val="0"/>
          </rPr>
          <t xml:space="preserve"> أدخل </t>
        </r>
        <r>
          <rPr>
            <b/>
            <sz val="8"/>
            <color indexed="10"/>
            <rFont val="Tahoma"/>
            <family val="2"/>
          </rPr>
          <t>عدد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0"/>
          </rPr>
          <t xml:space="preserve">الأولاد </t>
        </r>
        <r>
          <rPr>
            <b/>
            <sz val="8"/>
            <color indexed="10"/>
            <rFont val="Tahoma"/>
            <family val="2"/>
          </rPr>
          <t>الخاضعين</t>
        </r>
        <r>
          <rPr>
            <sz val="8"/>
            <rFont val="Tahoma"/>
            <family val="0"/>
          </rPr>
          <t xml:space="preserve"> للمنحة</t>
        </r>
      </text>
    </comment>
    <comment ref="H14" authorId="0">
      <text>
        <r>
          <rPr>
            <b/>
            <sz val="8"/>
            <rFont val="Tahoma"/>
            <family val="0"/>
          </rPr>
          <t>SIFOUR HOCINE:</t>
        </r>
        <r>
          <rPr>
            <sz val="8"/>
            <rFont val="Tahoma"/>
            <family val="0"/>
          </rPr>
          <t xml:space="preserve">
أدخل عدد الأولاد التي أعمارهم أكبر من 10 سنوات والحاضعين للمنحة</t>
        </r>
      </text>
    </comment>
    <comment ref="H16" authorId="0">
      <text>
        <r>
          <rPr>
            <b/>
            <sz val="8"/>
            <rFont val="Tahoma"/>
            <family val="0"/>
          </rPr>
          <t>SIFOUR HOCINE:</t>
        </r>
        <r>
          <rPr>
            <sz val="8"/>
            <rFont val="Tahoma"/>
            <family val="0"/>
          </rPr>
          <t xml:space="preserve">
أدخل علامة المردودية تكون على 40</t>
        </r>
      </text>
    </comment>
  </commentList>
</comments>
</file>

<file path=xl/sharedStrings.xml><?xml version="1.0" encoding="utf-8"?>
<sst xmlns="http://schemas.openxmlformats.org/spreadsheetml/2006/main" count="180" uniqueCount="72">
  <si>
    <t>صنف</t>
  </si>
  <si>
    <t>رقم أستدلالي</t>
  </si>
  <si>
    <t>الصنف</t>
  </si>
  <si>
    <t>الدرجة</t>
  </si>
  <si>
    <t xml:space="preserve"> الرقم الأستدلالي الأدنى</t>
  </si>
  <si>
    <t>الرقم الأستدلالي للدرجة</t>
  </si>
  <si>
    <t>الدخل الإجمالي الشهري</t>
  </si>
  <si>
    <t>الدخل الاجمالي السنوي</t>
  </si>
  <si>
    <t>IMPAN</t>
  </si>
  <si>
    <t>taux</t>
  </si>
  <si>
    <t>الضريبة على الدخل الاجمالي IRG</t>
  </si>
  <si>
    <t>أعزب</t>
  </si>
  <si>
    <t>متزوج</t>
  </si>
  <si>
    <t>أرمل</t>
  </si>
  <si>
    <t>عاملة</t>
  </si>
  <si>
    <t>ماكثة</t>
  </si>
  <si>
    <t>الراتب الخام</t>
  </si>
  <si>
    <t>الراتب الخاضع للضريبة</t>
  </si>
  <si>
    <t>الراتب الصافي</t>
  </si>
  <si>
    <t>الاجر القاعدي</t>
  </si>
  <si>
    <t>منحة الخبرة المهنية</t>
  </si>
  <si>
    <t>الأجر الاساسي</t>
  </si>
  <si>
    <t>منحة الخبرة البيداغوجية</t>
  </si>
  <si>
    <t>منحة التأهيل</t>
  </si>
  <si>
    <t>منحة جزافية تعويضية</t>
  </si>
  <si>
    <t xml:space="preserve">منحة التوثيق </t>
  </si>
  <si>
    <t>الضمان الاجتماعي</t>
  </si>
  <si>
    <t xml:space="preserve">الضريبة على الدخل </t>
  </si>
  <si>
    <t>تقريب عشري إلى 1</t>
  </si>
  <si>
    <t>RTS</t>
  </si>
  <si>
    <t>brut - RTS</t>
  </si>
  <si>
    <t>impot tota An</t>
  </si>
  <si>
    <t>impot men</t>
  </si>
  <si>
    <t>abbat 2</t>
  </si>
  <si>
    <t>abbat 1</t>
  </si>
  <si>
    <t>نعم</t>
  </si>
  <si>
    <t>لا</t>
  </si>
  <si>
    <t>أقتطاع التعاضدية</t>
  </si>
  <si>
    <t>الأشتراك في التعاضدية</t>
  </si>
  <si>
    <t>عدد أيام الخصم ( الغيابات )</t>
  </si>
  <si>
    <t>أستاذ منسق متوسط</t>
  </si>
  <si>
    <t>أستاذ منسق ثانوي</t>
  </si>
  <si>
    <t>مساعد مدير مدرسة إبتدائية</t>
  </si>
  <si>
    <t>مدير مدرسة أبتدائية</t>
  </si>
  <si>
    <t>مدير متوسطة</t>
  </si>
  <si>
    <t>مدير ثانوية</t>
  </si>
  <si>
    <t>مفتش التغدية</t>
  </si>
  <si>
    <t>مفتش التعليم الإبتدائي</t>
  </si>
  <si>
    <t>مفتش التعليم المتوسط</t>
  </si>
  <si>
    <t>مفتش التربية الوطنية</t>
  </si>
  <si>
    <t>المناصب النوعية</t>
  </si>
  <si>
    <t>منحة المنصب النوعي</t>
  </si>
  <si>
    <t xml:space="preserve">المنحة الجديدة </t>
  </si>
  <si>
    <r>
      <t xml:space="preserve"> </t>
    </r>
    <r>
      <rPr>
        <b/>
        <sz val="16"/>
        <color indexed="12"/>
        <rFont val="Calibri"/>
        <family val="2"/>
      </rPr>
      <t xml:space="preserve">الراتب القديم </t>
    </r>
  </si>
  <si>
    <t xml:space="preserve">                      الدرجة</t>
  </si>
  <si>
    <t>الراتب الجديد</t>
  </si>
  <si>
    <t xml:space="preserve"> الزيادة الشهرية </t>
  </si>
  <si>
    <t xml:space="preserve">الحالة العائلية : </t>
  </si>
  <si>
    <t xml:space="preserve">وضعية الزوج(ة) : </t>
  </si>
  <si>
    <t>عدد الأولاد</t>
  </si>
  <si>
    <t>عدد الأولاد فوق 10 سنوات</t>
  </si>
  <si>
    <t>علامة المردودية (3 اشهر)</t>
  </si>
  <si>
    <t>قيمة المردودية</t>
  </si>
  <si>
    <t>منح عائلية</t>
  </si>
  <si>
    <t>القيمة المضافة للمنح العائلية</t>
  </si>
  <si>
    <t>منحة الاجر الوحيد</t>
  </si>
  <si>
    <t>أقتطاع الغياب</t>
  </si>
  <si>
    <t>الراتب الصافي الجديد</t>
  </si>
  <si>
    <t>الراتب الصافي القديم</t>
  </si>
  <si>
    <t xml:space="preserve">هذا البرنامج لحساب الزيادة الشهرية و قيمة المخلفات </t>
  </si>
  <si>
    <t xml:space="preserve">من إعداد FRETESMED بلدية فوكة تيبازة </t>
  </si>
  <si>
    <t xml:space="preserve">المخلفات 4 سنوات </t>
  </si>
</sst>
</file>

<file path=xl/styles.xml><?xml version="1.0" encoding="utf-8"?>
<styleSheet xmlns="http://schemas.openxmlformats.org/spreadsheetml/2006/main">
  <numFmts count="19">
    <numFmt numFmtId="5" formatCode="&quot;د.ج.&quot;\ #,##0_-;&quot;د.ج.&quot;\ #,##0\-"/>
    <numFmt numFmtId="6" formatCode="&quot;د.ج.&quot;\ #,##0_-;[Red]&quot;د.ج.&quot;\ #,##0\-"/>
    <numFmt numFmtId="7" formatCode="&quot;د.ج.&quot;\ #,##0.00_-;&quot;د.ج.&quot;\ #,##0.00\-"/>
    <numFmt numFmtId="8" formatCode="&quot;د.ج.&quot;\ #,##0.00_-;[Red]&quot;د.ج.&quot;\ #,##0.00\-"/>
    <numFmt numFmtId="42" formatCode="_-&quot;د.ج.&quot;\ * #,##0_-;_-&quot;د.ج.&quot;\ * #,##0\-;_-&quot;د.ج.&quot;\ * &quot;-&quot;_-;_-@_-"/>
    <numFmt numFmtId="41" formatCode="_-* #,##0_-;_-* #,##0\-;_-* &quot;-&quot;_-;_-@_-"/>
    <numFmt numFmtId="44" formatCode="_-&quot;د.ج.&quot;\ * #,##0.00_-;_-&quot;د.ج.&quot;\ * #,##0.00\-;_-&quot;د.ج.&quot;\ * &quot;-&quot;??_-;_-@_-"/>
    <numFmt numFmtId="43" formatCode="_-* #,##0.00_-;_-* #,##0.00\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0"/>
    <numFmt numFmtId="174" formatCode="0.000"/>
  </numFmts>
  <fonts count="64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2"/>
      <name val="Calibri"/>
      <family val="2"/>
    </font>
    <font>
      <b/>
      <sz val="16"/>
      <color indexed="10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9"/>
      <color indexed="10"/>
      <name val="Tahoma"/>
      <family val="2"/>
    </font>
    <font>
      <b/>
      <sz val="8"/>
      <color indexed="10"/>
      <name val="Tahoma"/>
      <family val="2"/>
    </font>
    <font>
      <b/>
      <sz val="16"/>
      <color indexed="12"/>
      <name val="Calibri"/>
      <family val="2"/>
    </font>
    <font>
      <b/>
      <sz val="20"/>
      <color indexed="12"/>
      <name val="Calibri"/>
      <family val="2"/>
    </font>
    <font>
      <sz val="12"/>
      <color indexed="8"/>
      <name val="Calibri"/>
      <family val="2"/>
    </font>
    <font>
      <b/>
      <sz val="14"/>
      <color indexed="12"/>
      <name val="Calibri"/>
      <family val="0"/>
    </font>
    <font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" fontId="10" fillId="0" borderId="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6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right"/>
    </xf>
    <xf numFmtId="0" fontId="4" fillId="33" borderId="0" xfId="0" applyFont="1" applyFill="1" applyAlignment="1" applyProtection="1">
      <alignment horizontal="center"/>
      <protection locked="0"/>
    </xf>
    <xf numFmtId="0" fontId="16" fillId="34" borderId="10" xfId="0" applyFont="1" applyFill="1" applyBorder="1" applyAlignment="1">
      <alignment/>
    </xf>
    <xf numFmtId="2" fontId="0" fillId="0" borderId="0" xfId="0" applyNumberFormat="1" applyAlignment="1">
      <alignment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2" fontId="2" fillId="0" borderId="0" xfId="0" applyNumberFormat="1" applyFont="1" applyBorder="1" applyAlignment="1">
      <alignment horizontal="right"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left"/>
    </xf>
    <xf numFmtId="0" fontId="6" fillId="34" borderId="0" xfId="0" applyFont="1" applyFill="1" applyAlignment="1">
      <alignment horizontal="right" vertical="center"/>
    </xf>
    <xf numFmtId="2" fontId="18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34" borderId="0" xfId="0" applyFont="1" applyFill="1" applyAlignment="1">
      <alignment horizontal="right"/>
    </xf>
    <xf numFmtId="0" fontId="19" fillId="33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5" fillId="35" borderId="0" xfId="0" applyFont="1" applyFill="1" applyAlignment="1" applyProtection="1">
      <alignment/>
      <protection hidden="1" locked="0"/>
    </xf>
    <xf numFmtId="0" fontId="7" fillId="33" borderId="0" xfId="0" applyFont="1" applyFill="1" applyAlignment="1" applyProtection="1">
      <alignment/>
      <protection hidden="1" locked="0"/>
    </xf>
    <xf numFmtId="0" fontId="5" fillId="33" borderId="0" xfId="0" applyFont="1" applyFill="1" applyAlignment="1" applyProtection="1">
      <alignment/>
      <protection hidden="1" locked="0"/>
    </xf>
    <xf numFmtId="0" fontId="8" fillId="33" borderId="0" xfId="0" applyFont="1" applyFill="1" applyAlignment="1" applyProtection="1">
      <alignment/>
      <protection hidden="1" locked="0"/>
    </xf>
    <xf numFmtId="2" fontId="9" fillId="0" borderId="10" xfId="0" applyNumberFormat="1" applyFont="1" applyBorder="1" applyAlignment="1" applyProtection="1">
      <alignment horizontal="center" vertical="center"/>
      <protection hidden="1" locked="0"/>
    </xf>
    <xf numFmtId="2" fontId="10" fillId="0" borderId="10" xfId="0" applyNumberFormat="1" applyFont="1" applyBorder="1" applyAlignment="1" applyProtection="1">
      <alignment horizontal="center" vertical="center"/>
      <protection hidden="1" locked="0"/>
    </xf>
    <xf numFmtId="0" fontId="2" fillId="35" borderId="0" xfId="0" applyFont="1" applyFill="1" applyAlignment="1" applyProtection="1">
      <alignment/>
      <protection hidden="1" locked="0"/>
    </xf>
    <xf numFmtId="0" fontId="0" fillId="35" borderId="0" xfId="0" applyFill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2" fontId="61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22" fillId="34" borderId="10" xfId="0" applyFont="1" applyFill="1" applyBorder="1" applyAlignment="1">
      <alignment/>
    </xf>
    <xf numFmtId="0" fontId="11" fillId="34" borderId="12" xfId="0" applyFont="1" applyFill="1" applyBorder="1" applyAlignment="1">
      <alignment horizontal="right" vertical="center"/>
    </xf>
    <xf numFmtId="0" fontId="6" fillId="34" borderId="12" xfId="0" applyFont="1" applyFill="1" applyBorder="1" applyAlignment="1" applyProtection="1">
      <alignment/>
      <protection locked="0"/>
    </xf>
    <xf numFmtId="0" fontId="24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11" fillId="34" borderId="13" xfId="0" applyFont="1" applyFill="1" applyBorder="1" applyAlignment="1">
      <alignment horizontal="right" vertical="center"/>
    </xf>
    <xf numFmtId="0" fontId="6" fillId="34" borderId="13" xfId="0" applyFont="1" applyFill="1" applyBorder="1" applyAlignment="1" applyProtection="1">
      <alignment/>
      <protection locked="0"/>
    </xf>
    <xf numFmtId="0" fontId="4" fillId="34" borderId="13" xfId="0" applyFont="1" applyFill="1" applyBorder="1" applyAlignment="1" applyProtection="1">
      <alignment horizontal="center"/>
      <protection locked="0"/>
    </xf>
    <xf numFmtId="0" fontId="16" fillId="34" borderId="13" xfId="0" applyFont="1" applyFill="1" applyBorder="1" applyAlignment="1">
      <alignment horizontal="right" vertical="center"/>
    </xf>
    <xf numFmtId="0" fontId="8" fillId="34" borderId="13" xfId="0" applyFont="1" applyFill="1" applyBorder="1" applyAlignment="1" applyProtection="1">
      <alignment horizontal="center"/>
      <protection locked="0"/>
    </xf>
    <xf numFmtId="0" fontId="25" fillId="34" borderId="14" xfId="0" applyFont="1" applyFill="1" applyBorder="1" applyAlignment="1">
      <alignment horizontal="right" vertical="center"/>
    </xf>
    <xf numFmtId="0" fontId="5" fillId="34" borderId="14" xfId="0" applyFont="1" applyFill="1" applyBorder="1" applyAlignment="1">
      <alignment horizontal="center"/>
    </xf>
    <xf numFmtId="0" fontId="6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2" fontId="23" fillId="34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3" fillId="34" borderId="15" xfId="0" applyNumberFormat="1" applyFont="1" applyFill="1" applyBorder="1" applyAlignment="1">
      <alignment horizontal="center"/>
    </xf>
    <xf numFmtId="2" fontId="23" fillId="34" borderId="16" xfId="0" applyNumberFormat="1" applyFont="1" applyFill="1" applyBorder="1" applyAlignment="1">
      <alignment horizontal="center"/>
    </xf>
    <xf numFmtId="2" fontId="22" fillId="34" borderId="17" xfId="0" applyNumberFormat="1" applyFont="1" applyFill="1" applyBorder="1" applyAlignment="1">
      <alignment horizontal="center"/>
    </xf>
    <xf numFmtId="2" fontId="16" fillId="34" borderId="18" xfId="0" applyNumberFormat="1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showRowColHeaders="0" rightToLeft="1" tabSelected="1" zoomScalePageLayoutView="0" workbookViewId="0" topLeftCell="A7">
      <selection activeCell="B4" sqref="B4"/>
    </sheetView>
  </sheetViews>
  <sheetFormatPr defaultColWidth="11.421875" defaultRowHeight="12.75"/>
  <cols>
    <col min="1" max="1" width="23.140625" style="0" bestFit="1" customWidth="1"/>
    <col min="2" max="2" width="18.7109375" style="0" bestFit="1" customWidth="1"/>
    <col min="3" max="3" width="11.421875" style="0" customWidth="1"/>
    <col min="4" max="4" width="21.00390625" style="0" customWidth="1"/>
    <col min="5" max="5" width="11.421875" style="0" customWidth="1"/>
    <col min="6" max="6" width="22.00390625" style="0" customWidth="1"/>
  </cols>
  <sheetData>
    <row r="1" spans="1:7" ht="20.25">
      <c r="A1" s="19" t="s">
        <v>69</v>
      </c>
      <c r="E1" s="56" t="s">
        <v>70</v>
      </c>
      <c r="F1" s="57"/>
      <c r="G1" s="57"/>
    </row>
    <row r="2" ht="10.5" customHeight="1">
      <c r="B2" s="18"/>
    </row>
    <row r="3" spans="1:6" ht="17.25" customHeight="1">
      <c r="A3" s="11" t="s">
        <v>2</v>
      </c>
      <c r="B3" s="13">
        <v>13</v>
      </c>
      <c r="D3" s="26" t="s">
        <v>50</v>
      </c>
      <c r="E3" s="22"/>
      <c r="F3" s="27"/>
    </row>
    <row r="4" spans="1:2" ht="18">
      <c r="A4" s="40" t="s">
        <v>54</v>
      </c>
      <c r="B4" s="13">
        <v>11</v>
      </c>
    </row>
    <row r="5" spans="1:6" ht="21">
      <c r="A5" s="41" t="s">
        <v>55</v>
      </c>
      <c r="D5" s="22" t="s">
        <v>38</v>
      </c>
      <c r="E5" s="21"/>
      <c r="F5" s="13" t="s">
        <v>36</v>
      </c>
    </row>
    <row r="6" ht="6.75" customHeight="1"/>
    <row r="7" spans="1:6" ht="18">
      <c r="A7" s="14" t="s">
        <v>19</v>
      </c>
      <c r="B7" s="24">
        <f>45*Moutaferikate!H2</f>
        <v>26010</v>
      </c>
      <c r="D7" s="23" t="s">
        <v>39</v>
      </c>
      <c r="E7" s="21"/>
      <c r="F7" s="13"/>
    </row>
    <row r="8" spans="1:4" ht="21">
      <c r="A8" s="10" t="s">
        <v>20</v>
      </c>
      <c r="B8" s="12">
        <f>45*Moutaferikate!H3</f>
        <v>14310</v>
      </c>
      <c r="D8" s="14" t="s">
        <v>53</v>
      </c>
    </row>
    <row r="9" spans="1:5" ht="15.75">
      <c r="A9" s="14" t="s">
        <v>21</v>
      </c>
      <c r="B9" s="24">
        <f>B7+B8</f>
        <v>40320</v>
      </c>
      <c r="D9" s="14" t="s">
        <v>19</v>
      </c>
      <c r="E9" s="24">
        <f>45*Moutaferikate!H2</f>
        <v>26010</v>
      </c>
    </row>
    <row r="10" spans="1:8" ht="18">
      <c r="A10" s="10" t="s">
        <v>22</v>
      </c>
      <c r="B10" s="12">
        <f>B7*B4*0.04</f>
        <v>11444.4</v>
      </c>
      <c r="D10" s="10" t="s">
        <v>20</v>
      </c>
      <c r="E10" s="12">
        <f>45*Moutaferikate!H3</f>
        <v>14310</v>
      </c>
      <c r="G10" s="42" t="s">
        <v>57</v>
      </c>
      <c r="H10" s="43" t="s">
        <v>12</v>
      </c>
    </row>
    <row r="11" spans="1:8" ht="15.75">
      <c r="A11" s="10" t="s">
        <v>25</v>
      </c>
      <c r="B11" s="12">
        <f>IF(B3=0,0,IF(B3&lt;=10,2000,IF(B3&lt;13,2500,3000)))</f>
        <v>3000</v>
      </c>
      <c r="D11" s="14" t="s">
        <v>21</v>
      </c>
      <c r="E11" s="24">
        <f>E9+E10</f>
        <v>40320</v>
      </c>
      <c r="G11" s="44"/>
      <c r="H11" s="45"/>
    </row>
    <row r="12" spans="1:8" ht="18">
      <c r="A12" s="10" t="s">
        <v>52</v>
      </c>
      <c r="B12" s="39">
        <f>IF(B3&lt;=12,B9*0.15,B9*0.15)</f>
        <v>6048</v>
      </c>
      <c r="D12" s="10" t="s">
        <v>22</v>
      </c>
      <c r="E12" s="12">
        <f>B4*E9*0.04</f>
        <v>11444.4</v>
      </c>
      <c r="G12" s="46" t="s">
        <v>58</v>
      </c>
      <c r="H12" s="47" t="s">
        <v>15</v>
      </c>
    </row>
    <row r="13" spans="1:8" ht="15.75">
      <c r="A13" s="10" t="s">
        <v>23</v>
      </c>
      <c r="B13" s="12">
        <f>IF(B3&lt;=12,B9*0.4,B9*0.45)</f>
        <v>18144</v>
      </c>
      <c r="D13" s="10" t="s">
        <v>25</v>
      </c>
      <c r="E13" s="12">
        <f>IF(B3=0,0,IF(B3&lt;=10,2000,IF(B3&lt;13,2500,3000)))</f>
        <v>3000</v>
      </c>
      <c r="G13" s="45"/>
      <c r="H13" s="45"/>
    </row>
    <row r="14" spans="1:8" ht="15.75">
      <c r="A14" s="10" t="s">
        <v>24</v>
      </c>
      <c r="B14" s="12">
        <f>IF(B3=0,0,IF(B3=10,2000,IF(B3&lt;10,2500,1500)))</f>
        <v>1500</v>
      </c>
      <c r="D14" s="10" t="s">
        <v>23</v>
      </c>
      <c r="E14" s="12">
        <f>IF(B3&lt;=12,E9*0.25,E9*0.3)</f>
        <v>7803</v>
      </c>
      <c r="G14" s="46" t="s">
        <v>59</v>
      </c>
      <c r="H14" s="48">
        <v>2</v>
      </c>
    </row>
    <row r="15" spans="1:8" ht="15.75">
      <c r="A15" s="10" t="s">
        <v>51</v>
      </c>
      <c r="B15" s="12">
        <f>Moutaferikate!K21*45</f>
        <v>0</v>
      </c>
      <c r="D15" s="10" t="s">
        <v>24</v>
      </c>
      <c r="E15" s="12">
        <f>IF(B3=0,0,IF(B3=10,2000,IF(B3&lt;10,2500,1500)))</f>
        <v>1500</v>
      </c>
      <c r="G15" s="45"/>
      <c r="H15" s="45"/>
    </row>
    <row r="16" spans="1:8" ht="15.75">
      <c r="A16" s="14" t="s">
        <v>16</v>
      </c>
      <c r="B16" s="24">
        <f>B9+B10+B11+B12+B13+B14+B15</f>
        <v>80456.4</v>
      </c>
      <c r="D16" s="10" t="s">
        <v>51</v>
      </c>
      <c r="E16" s="12">
        <f>Moutaferikate!K21*45</f>
        <v>0</v>
      </c>
      <c r="G16" s="46" t="s">
        <v>60</v>
      </c>
      <c r="H16" s="48">
        <v>1</v>
      </c>
    </row>
    <row r="17" spans="1:8" ht="15.75">
      <c r="A17" s="10" t="s">
        <v>26</v>
      </c>
      <c r="B17" s="12">
        <f>B16*0.09</f>
        <v>7241.075999999999</v>
      </c>
      <c r="D17" s="14" t="s">
        <v>16</v>
      </c>
      <c r="E17" s="24">
        <f>E11+E12+E13+E14+E15+E16</f>
        <v>64067.4</v>
      </c>
      <c r="G17" s="45"/>
      <c r="H17" s="45"/>
    </row>
    <row r="18" spans="1:8" ht="15.75">
      <c r="A18" s="10" t="s">
        <v>17</v>
      </c>
      <c r="B18" s="12">
        <f>B16-B17</f>
        <v>73215.324</v>
      </c>
      <c r="C18" s="20"/>
      <c r="D18" s="10" t="s">
        <v>26</v>
      </c>
      <c r="E18" s="12">
        <f>E17*0.09</f>
        <v>5766.066</v>
      </c>
      <c r="G18" s="49" t="s">
        <v>61</v>
      </c>
      <c r="H18" s="50">
        <v>40</v>
      </c>
    </row>
    <row r="19" spans="1:8" ht="15.75">
      <c r="A19" s="10" t="s">
        <v>27</v>
      </c>
      <c r="B19" s="12">
        <f>Moutaferikate!$R$20</f>
        <v>15463</v>
      </c>
      <c r="C19" s="8"/>
      <c r="D19" s="10" t="s">
        <v>17</v>
      </c>
      <c r="E19" s="12">
        <f>E17-E18</f>
        <v>58301.334</v>
      </c>
      <c r="G19" s="45"/>
      <c r="H19" s="45"/>
    </row>
    <row r="20" spans="1:8" ht="18.75">
      <c r="A20" s="10" t="s">
        <v>37</v>
      </c>
      <c r="B20" s="12">
        <f>IF($F$5="نعم",$B$16*0.01,0)</f>
        <v>0</v>
      </c>
      <c r="D20" s="10" t="s">
        <v>27</v>
      </c>
      <c r="E20" s="12">
        <f>Moutaferikate!$U$20</f>
        <v>10990</v>
      </c>
      <c r="G20" s="51" t="s">
        <v>62</v>
      </c>
      <c r="H20" s="52">
        <f>IF(H18="","",(H18/40)*(B9*3)*0.4*0.819)</f>
        <v>39626.496</v>
      </c>
    </row>
    <row r="21" spans="1:8" ht="15.75">
      <c r="A21" s="14" t="s">
        <v>18</v>
      </c>
      <c r="B21" s="24">
        <f>B16-B17-B19-B20</f>
        <v>57752.32399999999</v>
      </c>
      <c r="D21" s="10" t="s">
        <v>37</v>
      </c>
      <c r="E21" s="12">
        <f>IF($F$5="نعم",$E$17*0.01,0)</f>
        <v>0</v>
      </c>
      <c r="H21" s="15"/>
    </row>
    <row r="22" spans="1:5" ht="15.75">
      <c r="A22" s="14" t="s">
        <v>63</v>
      </c>
      <c r="B22" s="24">
        <f>IF(H14&lt;=5,H14*600,5*600+(H14-5)*300)</f>
        <v>1200</v>
      </c>
      <c r="C22" s="24"/>
      <c r="D22" s="14" t="s">
        <v>18</v>
      </c>
      <c r="E22" s="24">
        <f>E17-E18-E20-E21</f>
        <v>47311.334</v>
      </c>
    </row>
    <row r="23" spans="1:5" ht="15.75" customHeight="1">
      <c r="A23" s="10" t="s">
        <v>64</v>
      </c>
      <c r="B23" s="12">
        <f>H16*11.25</f>
        <v>11.25</v>
      </c>
      <c r="D23" s="12" t="s">
        <v>63</v>
      </c>
      <c r="E23" s="24">
        <f>IF(H14&lt;=5,H14*600,5*600+(H14-5)*300)</f>
        <v>1200</v>
      </c>
    </row>
    <row r="24" spans="1:5" ht="15.75">
      <c r="A24" s="10" t="s">
        <v>65</v>
      </c>
      <c r="B24" s="12">
        <f>IF(H10="متزوج",IF(H12="ماكثة",800,0),0)</f>
        <v>800</v>
      </c>
      <c r="D24" s="10" t="s">
        <v>64</v>
      </c>
      <c r="E24" s="12">
        <f>H16*11.25</f>
        <v>11.25</v>
      </c>
    </row>
    <row r="25" spans="1:5" ht="15.75">
      <c r="A25" s="10" t="s">
        <v>66</v>
      </c>
      <c r="B25" s="12">
        <f>F7*(B21/30)</f>
        <v>0</v>
      </c>
      <c r="D25" s="10" t="s">
        <v>65</v>
      </c>
      <c r="E25" s="12">
        <f>IF(H10="متزوج",IF(H12="ماكثة",800,0),0)</f>
        <v>800</v>
      </c>
    </row>
    <row r="26" spans="1:5" ht="15.75">
      <c r="A26" s="14" t="s">
        <v>67</v>
      </c>
      <c r="B26" s="24">
        <f>(B21+B22+B23-B25+B24)</f>
        <v>59763.57399999999</v>
      </c>
      <c r="D26" s="10" t="s">
        <v>66</v>
      </c>
      <c r="E26" s="12">
        <f>F7*(E22/30)</f>
        <v>0</v>
      </c>
    </row>
    <row r="27" spans="1:5" ht="15.75">
      <c r="A27" s="60" t="s">
        <v>56</v>
      </c>
      <c r="B27" s="58">
        <f>B21-E22</f>
        <v>10440.98999999999</v>
      </c>
      <c r="D27" s="14" t="s">
        <v>68</v>
      </c>
      <c r="E27" s="24">
        <f>E22+E23+E25+E26</f>
        <v>49311.334</v>
      </c>
    </row>
    <row r="28" spans="1:2" ht="12.75">
      <c r="A28" s="61"/>
      <c r="B28" s="59"/>
    </row>
    <row r="29" spans="1:2" ht="15" customHeight="1">
      <c r="A29" s="53" t="s">
        <v>71</v>
      </c>
      <c r="B29" s="55">
        <f>B27*48</f>
        <v>501167.51999999955</v>
      </c>
    </row>
    <row r="30" spans="1:2" ht="15" customHeight="1">
      <c r="A30" s="54"/>
      <c r="B30" s="54"/>
    </row>
    <row r="31" ht="26.25" customHeight="1"/>
  </sheetData>
  <sheetProtection password="EA8D" sheet="1" formatCells="0" formatColumns="0" formatRows="0" insertColumns="0" insertRows="0" insertHyperlinks="0" deleteColumns="0" deleteRows="0" selectLockedCells="1" sort="0"/>
  <mergeCells count="5">
    <mergeCell ref="A29:A30"/>
    <mergeCell ref="B29:B30"/>
    <mergeCell ref="E1:G1"/>
    <mergeCell ref="B27:B28"/>
    <mergeCell ref="A27:A28"/>
  </mergeCells>
  <dataValidations count="9">
    <dataValidation type="whole" allowBlank="1" showInputMessage="1" showErrorMessage="1" errorTitle="حذاري" error="عدد الأولاد الأكبر من 10 سنوات أقل أو يساوي عدد الأولاد الكلي" sqref="H16:H17">
      <formula1>0</formula1>
      <formula2>H14</formula2>
    </dataValidation>
    <dataValidation type="list" allowBlank="1" showInputMessage="1" showErrorMessage="1" sqref="B4">
      <formula1>ech</formula1>
    </dataValidation>
    <dataValidation type="list" allowBlank="1" showInputMessage="1" showErrorMessage="1" sqref="F3">
      <formula1>resp</formula1>
    </dataValidation>
    <dataValidation type="list" allowBlank="1" showInputMessage="1" showErrorMessage="1" sqref="B3">
      <formula1>classe</formula1>
    </dataValidation>
    <dataValidation type="list" allowBlank="1" showInputMessage="1" showErrorMessage="1" sqref="F5">
      <formula1>minatec</formula1>
    </dataValidation>
    <dataValidation type="list" allowBlank="1" showInputMessage="1" showErrorMessage="1" sqref="H10">
      <formula1>cf</formula1>
    </dataValidation>
    <dataValidation type="whole" allowBlank="1" showInputMessage="1" showErrorMessage="1" sqref="H14">
      <formula1>0</formula1>
      <formula2>20</formula2>
    </dataValidation>
    <dataValidation type="list" allowBlank="1" showInputMessage="1" showErrorMessage="1" sqref="H12">
      <formula1>tra</formula1>
    </dataValidation>
    <dataValidation type="decimal" allowBlank="1" showInputMessage="1" showErrorMessage="1" sqref="H18">
      <formula1>0</formula1>
      <formula2>40</formula2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X43"/>
  <sheetViews>
    <sheetView rightToLeft="1" zoomScale="85" zoomScaleNormal="85" zoomScalePageLayoutView="0" workbookViewId="0" topLeftCell="C9">
      <selection activeCell="U35" sqref="U35"/>
    </sheetView>
  </sheetViews>
  <sheetFormatPr defaultColWidth="11.421875" defaultRowHeight="12.75"/>
  <cols>
    <col min="1" max="3" width="9.421875" style="0" customWidth="1"/>
    <col min="4" max="10" width="6.28125" style="0" customWidth="1"/>
    <col min="11" max="11" width="7.28125" style="0" bestFit="1" customWidth="1"/>
    <col min="12" max="15" width="6.28125" style="0" customWidth="1"/>
    <col min="16" max="16" width="5.140625" style="0" customWidth="1"/>
    <col min="17" max="17" width="25.28125" style="0" customWidth="1"/>
    <col min="18" max="18" width="11.421875" style="0" customWidth="1"/>
    <col min="19" max="19" width="14.00390625" style="0" customWidth="1"/>
    <col min="20" max="20" width="14.57421875" style="0" customWidth="1"/>
    <col min="21" max="21" width="17.7109375" style="0" customWidth="1"/>
  </cols>
  <sheetData>
    <row r="2" spans="1:8" ht="15.75">
      <c r="A2" s="4" t="s">
        <v>2</v>
      </c>
      <c r="B2" s="30">
        <f>'كشف الراتب'!$B$3</f>
        <v>13</v>
      </c>
      <c r="D2" s="4" t="s">
        <v>4</v>
      </c>
      <c r="H2" s="32">
        <f>INDEX(A6:B15,MATCH(B2,A6:A15,1),2)</f>
        <v>578</v>
      </c>
    </row>
    <row r="3" spans="1:8" ht="18">
      <c r="A3" s="4" t="s">
        <v>3</v>
      </c>
      <c r="B3" s="31">
        <f>'كشف الراتب'!$B$4</f>
        <v>11</v>
      </c>
      <c r="D3" s="4" t="s">
        <v>5</v>
      </c>
      <c r="H3" s="33">
        <f>INDEX(data,MATCH(B2,A6:A15,1),MATCH(B3,A6:O6,1))</f>
        <v>318</v>
      </c>
    </row>
    <row r="6" spans="1:19" ht="15">
      <c r="A6" s="2" t="s">
        <v>0</v>
      </c>
      <c r="B6" s="2" t="s">
        <v>1</v>
      </c>
      <c r="C6" s="2">
        <v>0</v>
      </c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2">
        <v>8</v>
      </c>
      <c r="L6" s="2">
        <v>9</v>
      </c>
      <c r="M6" s="2">
        <v>10</v>
      </c>
      <c r="N6" s="2">
        <v>11</v>
      </c>
      <c r="O6" s="2">
        <v>12</v>
      </c>
      <c r="S6" s="7"/>
    </row>
    <row r="7" spans="1:19" ht="15">
      <c r="A7" s="3">
        <v>7</v>
      </c>
      <c r="B7" s="3">
        <v>348</v>
      </c>
      <c r="C7" s="3">
        <v>0</v>
      </c>
      <c r="D7" s="3">
        <v>17</v>
      </c>
      <c r="E7" s="3">
        <v>35</v>
      </c>
      <c r="F7" s="3">
        <v>52</v>
      </c>
      <c r="G7" s="3">
        <v>70</v>
      </c>
      <c r="H7" s="3">
        <v>87</v>
      </c>
      <c r="I7" s="3">
        <v>104</v>
      </c>
      <c r="J7" s="3">
        <v>122</v>
      </c>
      <c r="K7" s="3">
        <v>139</v>
      </c>
      <c r="L7" s="3">
        <v>157</v>
      </c>
      <c r="M7" s="3">
        <v>174</v>
      </c>
      <c r="N7" s="3">
        <v>191</v>
      </c>
      <c r="O7" s="3">
        <v>209</v>
      </c>
      <c r="Q7" s="16"/>
      <c r="R7" s="17"/>
      <c r="S7" s="7"/>
    </row>
    <row r="8" spans="1:24" ht="15">
      <c r="A8" s="3">
        <v>10</v>
      </c>
      <c r="B8" s="3">
        <v>453</v>
      </c>
      <c r="C8" s="3">
        <v>0</v>
      </c>
      <c r="D8" s="3">
        <v>23</v>
      </c>
      <c r="E8" s="3">
        <v>45</v>
      </c>
      <c r="F8" s="3">
        <v>68</v>
      </c>
      <c r="G8" s="3">
        <v>91</v>
      </c>
      <c r="H8" s="3">
        <v>113</v>
      </c>
      <c r="I8" s="3">
        <v>136</v>
      </c>
      <c r="J8" s="3">
        <v>159</v>
      </c>
      <c r="K8" s="3">
        <v>181</v>
      </c>
      <c r="L8" s="3">
        <v>204</v>
      </c>
      <c r="M8" s="3">
        <v>227</v>
      </c>
      <c r="N8" s="3">
        <v>249</v>
      </c>
      <c r="O8" s="3">
        <v>272</v>
      </c>
      <c r="Q8" s="5" t="s">
        <v>6</v>
      </c>
      <c r="R8" s="34">
        <f>'كشف الراتب'!$B$18</f>
        <v>73215.324</v>
      </c>
      <c r="S8" s="7"/>
      <c r="T8" s="5" t="s">
        <v>6</v>
      </c>
      <c r="U8" s="34">
        <f>'كشف الراتب'!$E$19</f>
        <v>58301.334</v>
      </c>
      <c r="W8" s="5" t="s">
        <v>6</v>
      </c>
      <c r="X8" s="34">
        <f>Feuil1!B16</f>
        <v>67711.644</v>
      </c>
    </row>
    <row r="9" spans="1:24" ht="15">
      <c r="A9" s="3">
        <v>11</v>
      </c>
      <c r="B9" s="3">
        <v>498</v>
      </c>
      <c r="C9" s="3">
        <v>0</v>
      </c>
      <c r="D9" s="3">
        <v>25</v>
      </c>
      <c r="E9" s="3">
        <v>50</v>
      </c>
      <c r="F9" s="3">
        <v>75</v>
      </c>
      <c r="G9" s="3">
        <v>100</v>
      </c>
      <c r="H9" s="3">
        <v>125</v>
      </c>
      <c r="I9" s="3">
        <v>149</v>
      </c>
      <c r="J9" s="3">
        <v>174</v>
      </c>
      <c r="K9" s="3">
        <v>199</v>
      </c>
      <c r="L9" s="3">
        <v>224</v>
      </c>
      <c r="M9" s="3">
        <v>249</v>
      </c>
      <c r="N9" s="3">
        <v>274</v>
      </c>
      <c r="O9" s="3">
        <v>299</v>
      </c>
      <c r="Q9" s="5" t="s">
        <v>28</v>
      </c>
      <c r="R9" s="34">
        <f>10*INT(R8/10)</f>
        <v>73210</v>
      </c>
      <c r="S9" s="7"/>
      <c r="T9" s="5" t="s">
        <v>28</v>
      </c>
      <c r="U9" s="34">
        <f>10*INT(U8/10)</f>
        <v>58300</v>
      </c>
      <c r="W9" s="5" t="s">
        <v>28</v>
      </c>
      <c r="X9" s="34">
        <f>10*INT(X8/10)</f>
        <v>67710</v>
      </c>
    </row>
    <row r="10" spans="1:24" ht="15">
      <c r="A10" s="3">
        <v>12</v>
      </c>
      <c r="B10" s="3">
        <v>537</v>
      </c>
      <c r="C10" s="3">
        <v>0</v>
      </c>
      <c r="D10" s="3">
        <v>27</v>
      </c>
      <c r="E10" s="3">
        <v>54</v>
      </c>
      <c r="F10" s="3">
        <v>81</v>
      </c>
      <c r="G10" s="3">
        <v>107</v>
      </c>
      <c r="H10" s="3">
        <v>134</v>
      </c>
      <c r="I10" s="3">
        <v>161</v>
      </c>
      <c r="J10" s="3">
        <v>188</v>
      </c>
      <c r="K10" s="3">
        <v>215</v>
      </c>
      <c r="L10" s="3">
        <v>242</v>
      </c>
      <c r="M10" s="3">
        <v>269</v>
      </c>
      <c r="N10" s="3">
        <v>295</v>
      </c>
      <c r="O10" s="3">
        <v>322</v>
      </c>
      <c r="Q10" s="5" t="s">
        <v>7</v>
      </c>
      <c r="R10" s="34">
        <f>R9*12</f>
        <v>878520</v>
      </c>
      <c r="S10" s="7"/>
      <c r="T10" s="5" t="s">
        <v>7</v>
      </c>
      <c r="U10" s="34">
        <f>U9*12</f>
        <v>699600</v>
      </c>
      <c r="W10" s="5" t="s">
        <v>7</v>
      </c>
      <c r="X10" s="34">
        <f>X9*12</f>
        <v>812520</v>
      </c>
    </row>
    <row r="11" spans="1:24" ht="15">
      <c r="A11" s="3">
        <v>13</v>
      </c>
      <c r="B11" s="3">
        <v>578</v>
      </c>
      <c r="C11" s="3">
        <v>0</v>
      </c>
      <c r="D11" s="3">
        <v>29</v>
      </c>
      <c r="E11" s="3">
        <v>58</v>
      </c>
      <c r="F11" s="3">
        <v>87</v>
      </c>
      <c r="G11" s="3">
        <v>116</v>
      </c>
      <c r="H11" s="3">
        <v>145</v>
      </c>
      <c r="I11" s="3">
        <v>173</v>
      </c>
      <c r="J11" s="3">
        <v>202</v>
      </c>
      <c r="K11" s="3">
        <v>231</v>
      </c>
      <c r="L11" s="3">
        <v>260</v>
      </c>
      <c r="M11" s="3">
        <v>289</v>
      </c>
      <c r="N11" s="3">
        <v>318</v>
      </c>
      <c r="O11" s="3">
        <v>347</v>
      </c>
      <c r="Q11" s="5" t="s">
        <v>29</v>
      </c>
      <c r="R11" s="34">
        <f>IF(R10&lt;120000,0,IF(R10&lt;360000,120000,IF(R10&lt;1440000,360000,IF(R10&lt;9999999,1440000,9999999))))</f>
        <v>360000</v>
      </c>
      <c r="S11" s="7"/>
      <c r="T11" s="5" t="s">
        <v>29</v>
      </c>
      <c r="U11" s="34">
        <f>IF(U10&lt;120000,0,IF(U10&lt;360000,120000,IF(U10&lt;1440000,360000,IF(U10&lt;9999999,1440000,9999999))))</f>
        <v>360000</v>
      </c>
      <c r="W11" s="5" t="s">
        <v>29</v>
      </c>
      <c r="X11" s="34">
        <f>IF(X10&lt;120000,0,IF(X10&lt;360000,120000,IF(X10&lt;1440000,360000,IF(X10&lt;9999999,1440000,9999999))))</f>
        <v>360000</v>
      </c>
    </row>
    <row r="12" spans="1:24" ht="15">
      <c r="A12" s="3">
        <v>14</v>
      </c>
      <c r="B12" s="3">
        <v>621</v>
      </c>
      <c r="C12" s="3">
        <v>0</v>
      </c>
      <c r="D12" s="3">
        <v>31</v>
      </c>
      <c r="E12" s="3">
        <v>62</v>
      </c>
      <c r="F12" s="3">
        <v>93</v>
      </c>
      <c r="G12" s="3">
        <v>124</v>
      </c>
      <c r="H12" s="3">
        <v>155</v>
      </c>
      <c r="I12" s="3">
        <v>186</v>
      </c>
      <c r="J12" s="3">
        <v>217</v>
      </c>
      <c r="K12" s="3">
        <v>248</v>
      </c>
      <c r="L12" s="3">
        <v>279</v>
      </c>
      <c r="M12" s="3">
        <v>311</v>
      </c>
      <c r="N12" s="3">
        <v>342</v>
      </c>
      <c r="O12" s="3">
        <v>373</v>
      </c>
      <c r="Q12" s="5" t="s">
        <v>30</v>
      </c>
      <c r="R12" s="34">
        <f>R10-R11</f>
        <v>518520</v>
      </c>
      <c r="S12" s="7"/>
      <c r="T12" s="5" t="s">
        <v>30</v>
      </c>
      <c r="U12" s="34">
        <f>U10-U11</f>
        <v>339600</v>
      </c>
      <c r="W12" s="5" t="s">
        <v>30</v>
      </c>
      <c r="X12" s="34">
        <f>X10-X11</f>
        <v>452520</v>
      </c>
    </row>
    <row r="13" spans="1:24" ht="15">
      <c r="A13" s="3">
        <v>15</v>
      </c>
      <c r="B13" s="3">
        <v>666</v>
      </c>
      <c r="C13" s="3">
        <v>0</v>
      </c>
      <c r="D13" s="3">
        <v>33</v>
      </c>
      <c r="E13" s="3">
        <v>67</v>
      </c>
      <c r="F13" s="3">
        <v>100</v>
      </c>
      <c r="G13" s="3">
        <v>133</v>
      </c>
      <c r="H13" s="3">
        <v>167</v>
      </c>
      <c r="I13" s="3">
        <v>200</v>
      </c>
      <c r="J13" s="3">
        <v>233</v>
      </c>
      <c r="K13" s="3">
        <v>266</v>
      </c>
      <c r="L13" s="3">
        <v>300</v>
      </c>
      <c r="M13" s="3">
        <v>333</v>
      </c>
      <c r="N13" s="3">
        <v>366</v>
      </c>
      <c r="O13" s="3">
        <v>400</v>
      </c>
      <c r="Q13" s="5" t="s">
        <v>8</v>
      </c>
      <c r="R13" s="34">
        <f>IF(R11=0,0,IF(R11=120000,0,IF(R11=360000,48000,IF(R11=1440000,372000,3367999.65))))</f>
        <v>48000</v>
      </c>
      <c r="S13" s="7"/>
      <c r="T13" s="5" t="s">
        <v>8</v>
      </c>
      <c r="U13" s="34">
        <f>IF(U11=0,0,IF(U11=120000,0,IF(U11=360000,48000,IF(U11=1440000,372000,3367999.65))))</f>
        <v>48000</v>
      </c>
      <c r="W13" s="5" t="s">
        <v>8</v>
      </c>
      <c r="X13" s="34">
        <f>IF(X11=0,0,IF(X11=120000,0,IF(X11=360000,48000,IF(X11=1440000,372000,3367999.65))))</f>
        <v>48000</v>
      </c>
    </row>
    <row r="14" spans="1:24" ht="15">
      <c r="A14" s="3">
        <v>16</v>
      </c>
      <c r="B14" s="3">
        <v>713</v>
      </c>
      <c r="C14" s="3">
        <v>0</v>
      </c>
      <c r="D14" s="3">
        <v>36</v>
      </c>
      <c r="E14" s="3">
        <v>71</v>
      </c>
      <c r="F14" s="3">
        <v>107</v>
      </c>
      <c r="G14" s="3">
        <v>143</v>
      </c>
      <c r="H14" s="3">
        <v>178</v>
      </c>
      <c r="I14" s="3">
        <v>214</v>
      </c>
      <c r="J14" s="3">
        <v>250</v>
      </c>
      <c r="K14" s="3">
        <v>285</v>
      </c>
      <c r="L14" s="3">
        <v>321</v>
      </c>
      <c r="M14" s="3">
        <v>357</v>
      </c>
      <c r="N14" s="3">
        <v>392</v>
      </c>
      <c r="O14" s="3">
        <v>428</v>
      </c>
      <c r="Q14" s="5" t="s">
        <v>9</v>
      </c>
      <c r="R14" s="34">
        <f>IF(R10&lt;=120000,0,IF(R10&lt;=360000,0.2,IF(R10&lt;=1440000,0.3,0.35)))</f>
        <v>0.3</v>
      </c>
      <c r="S14" s="7"/>
      <c r="T14" s="5" t="s">
        <v>9</v>
      </c>
      <c r="U14" s="34">
        <f>IF(U10&lt;=120000,0,IF(U10&lt;=360000,0.2,IF(U10&lt;=1440000,0.3,0.35)))</f>
        <v>0.3</v>
      </c>
      <c r="W14" s="5" t="s">
        <v>9</v>
      </c>
      <c r="X14" s="34">
        <f>IF(X10&lt;=120000,0,IF(X10&lt;=360000,0.2,IF(X10&lt;=1440000,0.3,0.35)))</f>
        <v>0.3</v>
      </c>
    </row>
    <row r="15" spans="1:24" ht="15">
      <c r="A15" s="3">
        <v>17</v>
      </c>
      <c r="B15" s="3">
        <v>762</v>
      </c>
      <c r="C15" s="3">
        <v>0</v>
      </c>
      <c r="D15" s="3">
        <v>38</v>
      </c>
      <c r="E15" s="3">
        <v>76</v>
      </c>
      <c r="F15" s="3">
        <v>114</v>
      </c>
      <c r="G15" s="3">
        <v>152</v>
      </c>
      <c r="H15" s="3">
        <v>191</v>
      </c>
      <c r="I15" s="3">
        <v>229</v>
      </c>
      <c r="J15" s="3">
        <v>267</v>
      </c>
      <c r="K15" s="3">
        <v>305</v>
      </c>
      <c r="L15" s="3">
        <v>343</v>
      </c>
      <c r="M15" s="3">
        <v>381</v>
      </c>
      <c r="N15" s="3">
        <v>419</v>
      </c>
      <c r="O15" s="3">
        <v>457</v>
      </c>
      <c r="Q15" s="5" t="s">
        <v>31</v>
      </c>
      <c r="R15" s="34">
        <f>R14*R12+R13</f>
        <v>203556</v>
      </c>
      <c r="S15" s="7"/>
      <c r="T15" s="5" t="s">
        <v>31</v>
      </c>
      <c r="U15" s="34">
        <f>U14*U12+U13</f>
        <v>149880</v>
      </c>
      <c r="W15" s="5" t="s">
        <v>31</v>
      </c>
      <c r="X15" s="34">
        <f>X14*X12+X13</f>
        <v>183756</v>
      </c>
    </row>
    <row r="16" spans="17:24" ht="15">
      <c r="Q16" s="5" t="s">
        <v>32</v>
      </c>
      <c r="R16" s="34">
        <f>R15/12</f>
        <v>16963</v>
      </c>
      <c r="S16" s="7"/>
      <c r="T16" s="5" t="s">
        <v>32</v>
      </c>
      <c r="U16" s="34">
        <f>U15/12</f>
        <v>12490</v>
      </c>
      <c r="W16" s="5" t="s">
        <v>32</v>
      </c>
      <c r="X16" s="34">
        <f>X15/12</f>
        <v>15313</v>
      </c>
    </row>
    <row r="17" spans="2:24" ht="15">
      <c r="B17" s="6"/>
      <c r="C17" s="6"/>
      <c r="D17" s="7"/>
      <c r="E17" s="8"/>
      <c r="F17" s="1" t="s">
        <v>11</v>
      </c>
      <c r="G17" s="1"/>
      <c r="Q17" s="5" t="s">
        <v>34</v>
      </c>
      <c r="R17" s="34">
        <f>R16*0.4</f>
        <v>6785.200000000001</v>
      </c>
      <c r="S17" s="7"/>
      <c r="T17" s="5" t="s">
        <v>34</v>
      </c>
      <c r="U17" s="34">
        <f>U16*0.4</f>
        <v>4996</v>
      </c>
      <c r="W17" s="5" t="s">
        <v>34</v>
      </c>
      <c r="X17" s="34">
        <f>X16*0.4</f>
        <v>6125.200000000001</v>
      </c>
    </row>
    <row r="18" spans="2:24" ht="15">
      <c r="B18" s="6"/>
      <c r="C18" s="6"/>
      <c r="D18" s="7"/>
      <c r="E18" s="8"/>
      <c r="F18" s="1" t="s">
        <v>12</v>
      </c>
      <c r="G18" s="1" t="s">
        <v>14</v>
      </c>
      <c r="I18" t="s">
        <v>35</v>
      </c>
      <c r="Q18" s="5" t="s">
        <v>33</v>
      </c>
      <c r="R18" s="34">
        <f>IF(R17&gt;1500,1500,IF(R17&lt;1000,1000,R17))</f>
        <v>1500</v>
      </c>
      <c r="S18" s="7"/>
      <c r="T18" s="5" t="s">
        <v>33</v>
      </c>
      <c r="U18" s="34">
        <f>IF(U17&gt;1500,1500,IF(U17&lt;1000,1000,U17))</f>
        <v>1500</v>
      </c>
      <c r="W18" s="5" t="s">
        <v>33</v>
      </c>
      <c r="X18" s="34">
        <f>IF(X17&gt;1500,1500,IF(X17&lt;1000,1000,X17))</f>
        <v>1500</v>
      </c>
    </row>
    <row r="19" spans="2:24" ht="15">
      <c r="B19" s="6"/>
      <c r="C19" s="6"/>
      <c r="D19" s="7"/>
      <c r="E19" s="8"/>
      <c r="F19" s="1" t="s">
        <v>13</v>
      </c>
      <c r="G19" s="1" t="s">
        <v>15</v>
      </c>
      <c r="I19" t="s">
        <v>36</v>
      </c>
      <c r="K19" t="e">
        <f>MATCH($I$21,resp,1)</f>
        <v>#N/A</v>
      </c>
      <c r="Q19" s="5"/>
      <c r="R19" s="34">
        <f>R16-R18</f>
        <v>15463</v>
      </c>
      <c r="S19" s="7"/>
      <c r="T19" s="5"/>
      <c r="U19" s="34">
        <f>U16-U18</f>
        <v>10990</v>
      </c>
      <c r="W19" s="5"/>
      <c r="X19" s="34">
        <f>X16-X18</f>
        <v>13813</v>
      </c>
    </row>
    <row r="20" spans="2:24" ht="15">
      <c r="B20" s="6"/>
      <c r="C20" s="6"/>
      <c r="D20" s="7"/>
      <c r="E20" s="8"/>
      <c r="Q20" s="5" t="s">
        <v>10</v>
      </c>
      <c r="R20" s="35">
        <f>IF(R19&lt;0,0,R19)</f>
        <v>15463</v>
      </c>
      <c r="S20" s="9"/>
      <c r="T20" s="5" t="s">
        <v>10</v>
      </c>
      <c r="U20" s="35">
        <f>IF(U19&lt;0,0,U19)</f>
        <v>10990</v>
      </c>
      <c r="W20" s="5" t="s">
        <v>10</v>
      </c>
      <c r="X20" s="35">
        <f>IF(X19&lt;0,0,X19)</f>
        <v>13813</v>
      </c>
    </row>
    <row r="21" spans="2:19" ht="15">
      <c r="B21" s="6"/>
      <c r="C21" s="6"/>
      <c r="D21" s="7"/>
      <c r="E21" s="8"/>
      <c r="I21" s="36">
        <f>'كشف الراتب'!F3&amp;""</f>
      </c>
      <c r="K21" s="37" t="str">
        <f>IF(I21=Q21,R21,"")&amp;IF(I21=Q22,R22,"")&amp;IF(I21=Q23,R23,"")&amp;IF(I21=Q24,R24,"")&amp;IF(I21=Q25,R25,"")&amp;IF(I21=Q26,R26,"")&amp;IF(I21=Q27,R27,"")&amp;IF(I21=Q28,R28,"")&amp;IF(I21=Q29,R29,"")&amp;IF(I21=Q30,R30,"")&amp;IF(I21=Q31,R31,"")</f>
        <v>0</v>
      </c>
      <c r="N21" s="25" t="s">
        <v>50</v>
      </c>
      <c r="P21">
        <v>1</v>
      </c>
      <c r="R21">
        <v>0</v>
      </c>
      <c r="S21" s="38">
        <f>R21*45</f>
        <v>0</v>
      </c>
    </row>
    <row r="22" spans="2:19" ht="15">
      <c r="B22" s="6"/>
      <c r="C22" s="6"/>
      <c r="D22" s="7"/>
      <c r="E22" s="8"/>
      <c r="I22" s="28"/>
      <c r="P22">
        <v>2</v>
      </c>
      <c r="Q22" s="1" t="s">
        <v>40</v>
      </c>
      <c r="R22" s="1">
        <v>35</v>
      </c>
      <c r="S22" s="38">
        <f aca="true" t="shared" si="0" ref="S22:S31">R22*45</f>
        <v>1575</v>
      </c>
    </row>
    <row r="23" spans="2:21" ht="15">
      <c r="B23" s="6"/>
      <c r="C23" s="6"/>
      <c r="D23" s="7"/>
      <c r="E23" s="8"/>
      <c r="I23" s="29"/>
      <c r="P23">
        <v>3</v>
      </c>
      <c r="Q23" s="1" t="s">
        <v>41</v>
      </c>
      <c r="R23" s="1">
        <v>35</v>
      </c>
      <c r="S23" s="38">
        <f t="shared" si="0"/>
        <v>1575</v>
      </c>
      <c r="T23" s="5" t="s">
        <v>6</v>
      </c>
      <c r="U23" s="34">
        <f>Feuil1!E17</f>
        <v>58301.334</v>
      </c>
    </row>
    <row r="24" spans="2:21" ht="15">
      <c r="B24" s="6"/>
      <c r="C24" s="6"/>
      <c r="D24" s="7"/>
      <c r="E24" s="8"/>
      <c r="I24" s="28"/>
      <c r="P24">
        <v>4</v>
      </c>
      <c r="Q24" s="1" t="s">
        <v>42</v>
      </c>
      <c r="R24" s="1">
        <v>25</v>
      </c>
      <c r="S24" s="38">
        <f t="shared" si="0"/>
        <v>1125</v>
      </c>
      <c r="T24" s="5" t="s">
        <v>28</v>
      </c>
      <c r="U24" s="34">
        <f>10*INT(U23/10)</f>
        <v>58300</v>
      </c>
    </row>
    <row r="25" spans="2:21" ht="15">
      <c r="B25" s="6"/>
      <c r="C25" s="6"/>
      <c r="D25" s="7"/>
      <c r="E25" s="8"/>
      <c r="I25" s="28"/>
      <c r="P25">
        <v>5</v>
      </c>
      <c r="Q25" s="1" t="s">
        <v>43</v>
      </c>
      <c r="R25" s="1">
        <v>75</v>
      </c>
      <c r="S25" s="38">
        <f t="shared" si="0"/>
        <v>3375</v>
      </c>
      <c r="T25" s="5" t="s">
        <v>7</v>
      </c>
      <c r="U25" s="34">
        <f>U24*12</f>
        <v>699600</v>
      </c>
    </row>
    <row r="26" spans="2:21" ht="15">
      <c r="B26" s="6"/>
      <c r="C26" s="6"/>
      <c r="D26" s="7"/>
      <c r="E26" s="8"/>
      <c r="I26" s="28"/>
      <c r="P26">
        <v>6</v>
      </c>
      <c r="Q26" s="1" t="s">
        <v>44</v>
      </c>
      <c r="R26" s="1">
        <v>105</v>
      </c>
      <c r="S26" s="38">
        <f t="shared" si="0"/>
        <v>4725</v>
      </c>
      <c r="T26" s="5" t="s">
        <v>29</v>
      </c>
      <c r="U26" s="34">
        <f>IF(U25&lt;120000,0,IF(U25&lt;360000,120000,IF(U25&lt;1440000,360000,IF(U25&lt;9999999,1440000,9999999))))</f>
        <v>360000</v>
      </c>
    </row>
    <row r="27" spans="2:21" ht="15">
      <c r="B27" s="6"/>
      <c r="C27" s="6"/>
      <c r="D27" s="7"/>
      <c r="E27" s="8"/>
      <c r="I27" s="28"/>
      <c r="P27">
        <v>7</v>
      </c>
      <c r="Q27" s="1" t="s">
        <v>45</v>
      </c>
      <c r="R27" s="1">
        <v>195</v>
      </c>
      <c r="S27" s="38">
        <f t="shared" si="0"/>
        <v>8775</v>
      </c>
      <c r="T27" s="5" t="s">
        <v>30</v>
      </c>
      <c r="U27" s="34">
        <f>U25-U26</f>
        <v>339600</v>
      </c>
    </row>
    <row r="28" spans="2:21" ht="15">
      <c r="B28" s="6"/>
      <c r="C28" s="6"/>
      <c r="D28" s="7"/>
      <c r="E28" s="8"/>
      <c r="I28" s="28"/>
      <c r="P28">
        <v>8</v>
      </c>
      <c r="Q28" s="1" t="s">
        <v>46</v>
      </c>
      <c r="R28" s="1">
        <v>75</v>
      </c>
      <c r="S28" s="38">
        <f t="shared" si="0"/>
        <v>3375</v>
      </c>
      <c r="T28" s="5" t="s">
        <v>8</v>
      </c>
      <c r="U28" s="34">
        <f>IF(U26=0,0,IF(U26=120000,0,IF(U26=360000,48000,IF(U26=1440000,372000,3367999.65))))</f>
        <v>48000</v>
      </c>
    </row>
    <row r="29" spans="2:21" ht="15">
      <c r="B29" s="6"/>
      <c r="C29" s="6"/>
      <c r="D29" s="7"/>
      <c r="E29" s="8"/>
      <c r="I29" s="28"/>
      <c r="P29">
        <v>9</v>
      </c>
      <c r="Q29" s="1" t="s">
        <v>47</v>
      </c>
      <c r="R29" s="1">
        <v>105</v>
      </c>
      <c r="S29" s="38">
        <f t="shared" si="0"/>
        <v>4725</v>
      </c>
      <c r="T29" s="5" t="s">
        <v>9</v>
      </c>
      <c r="U29" s="34">
        <f>IF(U25&lt;=120000,0,IF(U25&lt;=360000,0.2,IF(U25&lt;=1440000,0.3,0.35)))</f>
        <v>0.3</v>
      </c>
    </row>
    <row r="30" spans="2:21" ht="15">
      <c r="B30" s="6"/>
      <c r="C30" s="6"/>
      <c r="D30" s="7"/>
      <c r="E30" s="8"/>
      <c r="I30" s="28"/>
      <c r="P30">
        <v>10</v>
      </c>
      <c r="Q30" s="1" t="s">
        <v>48</v>
      </c>
      <c r="R30" s="1">
        <v>145</v>
      </c>
      <c r="S30" s="38">
        <f t="shared" si="0"/>
        <v>6525</v>
      </c>
      <c r="T30" s="5" t="s">
        <v>31</v>
      </c>
      <c r="U30" s="34">
        <f>U29*U27+U28</f>
        <v>149880</v>
      </c>
    </row>
    <row r="31" spans="2:21" ht="15">
      <c r="B31" s="6"/>
      <c r="C31" s="6"/>
      <c r="D31" s="9"/>
      <c r="E31" s="8"/>
      <c r="I31" s="28"/>
      <c r="P31">
        <v>11</v>
      </c>
      <c r="Q31" s="1" t="s">
        <v>49</v>
      </c>
      <c r="R31" s="1">
        <v>255</v>
      </c>
      <c r="S31" s="38">
        <f t="shared" si="0"/>
        <v>11475</v>
      </c>
      <c r="T31" s="5" t="s">
        <v>32</v>
      </c>
      <c r="U31" s="34">
        <f>U30/12</f>
        <v>12490</v>
      </c>
    </row>
    <row r="32" spans="2:21" ht="15">
      <c r="B32" s="8"/>
      <c r="C32" s="8"/>
      <c r="D32" s="8"/>
      <c r="E32" s="8"/>
      <c r="T32" s="5" t="s">
        <v>34</v>
      </c>
      <c r="U32" s="34">
        <f>U31*0.4</f>
        <v>4996</v>
      </c>
    </row>
    <row r="33" spans="20:21" ht="15">
      <c r="T33" s="5" t="s">
        <v>33</v>
      </c>
      <c r="U33" s="34">
        <f>IF(U32&gt;1500,1500,IF(U32&lt;1000,1000,U32))</f>
        <v>1500</v>
      </c>
    </row>
    <row r="34" spans="17:21" ht="15">
      <c r="Q34" s="1"/>
      <c r="R34" s="1"/>
      <c r="T34" s="5"/>
      <c r="U34" s="34">
        <f>U31-U33</f>
        <v>10990</v>
      </c>
    </row>
    <row r="35" spans="17:21" ht="15">
      <c r="Q35" s="1"/>
      <c r="R35" s="1"/>
      <c r="T35" s="5" t="s">
        <v>10</v>
      </c>
      <c r="U35" s="35">
        <f>IF(U34&lt;0,0,U34)</f>
        <v>10990</v>
      </c>
    </row>
    <row r="36" spans="17:18" ht="12.75">
      <c r="Q36" s="1"/>
      <c r="R36" s="1"/>
    </row>
    <row r="37" spans="17:18" ht="12.75">
      <c r="Q37" s="1"/>
      <c r="R37" s="1"/>
    </row>
    <row r="38" spans="17:18" ht="12.75">
      <c r="Q38" s="1"/>
      <c r="R38" s="1"/>
    </row>
    <row r="39" spans="17:18" ht="12.75">
      <c r="Q39" s="1"/>
      <c r="R39" s="1"/>
    </row>
    <row r="40" spans="17:18" ht="12.75">
      <c r="Q40" s="1"/>
      <c r="R40" s="1"/>
    </row>
    <row r="41" spans="17:18" ht="12.75">
      <c r="Q41" s="1"/>
      <c r="R41" s="1"/>
    </row>
    <row r="42" spans="17:18" ht="12.75">
      <c r="Q42" s="1"/>
      <c r="R42" s="1"/>
    </row>
    <row r="43" spans="17:18" ht="12.75">
      <c r="Q43" s="1"/>
      <c r="R43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4">
      <selection activeCell="E14" sqref="E14"/>
    </sheetView>
  </sheetViews>
  <sheetFormatPr defaultColWidth="11.421875" defaultRowHeight="12.75"/>
  <cols>
    <col min="2" max="2" width="19.140625" style="0" customWidth="1"/>
    <col min="4" max="4" width="35.57421875" style="0" customWidth="1"/>
    <col min="5" max="5" width="17.421875" style="0" customWidth="1"/>
    <col min="6" max="6" width="17.28125" style="0" customWidth="1"/>
    <col min="7" max="7" width="18.28125" style="0" customWidth="1"/>
  </cols>
  <sheetData>
    <row r="1" spans="1:6" ht="18">
      <c r="A1" s="11"/>
      <c r="B1" s="13"/>
      <c r="D1" s="26"/>
      <c r="E1" s="22"/>
      <c r="F1" s="27"/>
    </row>
    <row r="2" spans="1:2" ht="18">
      <c r="A2" s="40"/>
      <c r="B2" s="13"/>
    </row>
    <row r="3" spans="1:6" ht="21">
      <c r="A3" s="41" t="s">
        <v>55</v>
      </c>
      <c r="D3" s="22"/>
      <c r="E3" s="21"/>
      <c r="F3" s="13"/>
    </row>
    <row r="5" spans="1:6" ht="18">
      <c r="A5" s="14" t="s">
        <v>19</v>
      </c>
      <c r="B5" s="24">
        <f>45*Moutaferikate!H2</f>
        <v>26010</v>
      </c>
      <c r="D5" s="23"/>
      <c r="E5" s="21"/>
      <c r="F5" s="13"/>
    </row>
    <row r="6" spans="1:4" ht="21">
      <c r="A6" s="10" t="s">
        <v>20</v>
      </c>
      <c r="B6" s="12">
        <f>45*Moutaferikate!H3</f>
        <v>14310</v>
      </c>
      <c r="D6" s="14" t="s">
        <v>53</v>
      </c>
    </row>
    <row r="7" spans="1:5" ht="15.75">
      <c r="A7" s="14" t="s">
        <v>21</v>
      </c>
      <c r="B7" s="24">
        <f>B5+B6</f>
        <v>40320</v>
      </c>
      <c r="D7" s="14" t="s">
        <v>19</v>
      </c>
      <c r="E7" s="24">
        <f>45*Moutaferikate!H2</f>
        <v>26010</v>
      </c>
    </row>
    <row r="8" spans="1:8" ht="18">
      <c r="A8" s="10" t="s">
        <v>22</v>
      </c>
      <c r="B8" s="12">
        <f>'كشف الراتب'!B7*'كشف الراتب'!B4*0.04</f>
        <v>11444.4</v>
      </c>
      <c r="D8" s="10" t="s">
        <v>20</v>
      </c>
      <c r="E8" s="12">
        <f>45*Moutaferikate!H3</f>
        <v>14310</v>
      </c>
      <c r="G8" s="42" t="s">
        <v>57</v>
      </c>
      <c r="H8" s="43" t="s">
        <v>12</v>
      </c>
    </row>
    <row r="9" spans="1:8" ht="15.75">
      <c r="A9" s="10" t="s">
        <v>25</v>
      </c>
      <c r="B9" s="12">
        <f>IF('كشف الراتب'!B3=0,0,IF('كشف الراتب'!B3&lt;=10,2000,IF('كشف الراتب'!B3&lt;13,2500,3000)))</f>
        <v>3000</v>
      </c>
      <c r="D9" s="14" t="s">
        <v>21</v>
      </c>
      <c r="E9" s="24">
        <f>E7+E8</f>
        <v>40320</v>
      </c>
      <c r="G9" s="44"/>
      <c r="H9" s="45"/>
    </row>
    <row r="10" spans="1:8" ht="18">
      <c r="A10" s="10" t="s">
        <v>52</v>
      </c>
      <c r="B10" s="39"/>
      <c r="D10" s="10" t="s">
        <v>22</v>
      </c>
      <c r="E10" s="12">
        <f>'كشف الراتب'!B7*'كشف الراتب'!B4*0.04</f>
        <v>11444.4</v>
      </c>
      <c r="G10" s="46" t="s">
        <v>58</v>
      </c>
      <c r="H10" s="47" t="s">
        <v>14</v>
      </c>
    </row>
    <row r="11" spans="1:8" ht="15.75">
      <c r="A11" s="10" t="s">
        <v>23</v>
      </c>
      <c r="B11" s="12">
        <f>IF('كشف الراتب'!B3&lt;=12,B7*0.4,B7*0.45)</f>
        <v>18144</v>
      </c>
      <c r="D11" s="10" t="s">
        <v>25</v>
      </c>
      <c r="E11" s="12">
        <f>IF('كشف الراتب'!B3=0,0,IF('كشف الراتب'!B3&lt;=10,2000,IF('كشف الراتب'!B3&lt;13,2500,3000)))</f>
        <v>3000</v>
      </c>
      <c r="G11" s="45"/>
      <c r="H11" s="45"/>
    </row>
    <row r="12" spans="1:8" ht="15.75">
      <c r="A12" s="10" t="s">
        <v>24</v>
      </c>
      <c r="B12" s="12">
        <f>IF('كشف الراتب'!B3=0,0,IF('كشف الراتب'!B3=10,2000,IF('كشف الراتب'!B3&lt;10,2500,1500)))</f>
        <v>1500</v>
      </c>
      <c r="D12" s="10" t="s">
        <v>23</v>
      </c>
      <c r="E12" s="12">
        <f>IF('كشف الراتب'!B3&lt;=12,Feuil1!E7*0.25,E7*0.3)</f>
        <v>7803</v>
      </c>
      <c r="G12" s="46" t="s">
        <v>59</v>
      </c>
      <c r="H12" s="48">
        <v>0</v>
      </c>
    </row>
    <row r="13" spans="1:8" ht="15.75">
      <c r="A13" s="10" t="s">
        <v>51</v>
      </c>
      <c r="B13" s="12">
        <f>Moutaferikate!K21*45</f>
        <v>0</v>
      </c>
      <c r="D13" s="10" t="s">
        <v>24</v>
      </c>
      <c r="E13" s="12">
        <f>IF('كشف الراتب'!B3=0,0,IF('كشف الراتب'!B3=10,2000,IF('كشف الراتب'!B3&lt;10,2500,1500)))</f>
        <v>1500</v>
      </c>
      <c r="G13" s="45"/>
      <c r="H13" s="45"/>
    </row>
    <row r="14" spans="1:8" ht="15.75">
      <c r="A14" s="14" t="s">
        <v>16</v>
      </c>
      <c r="B14" s="24">
        <f>B7+B8+B9+B10+B11+B12+B13</f>
        <v>74408.4</v>
      </c>
      <c r="D14" s="10" t="s">
        <v>51</v>
      </c>
      <c r="E14" s="12">
        <f>Moutaferikate!K21*45</f>
        <v>0</v>
      </c>
      <c r="G14" s="46" t="s">
        <v>60</v>
      </c>
      <c r="H14" s="48">
        <v>0</v>
      </c>
    </row>
    <row r="15" spans="1:8" ht="15.75">
      <c r="A15" s="10" t="s">
        <v>26</v>
      </c>
      <c r="B15" s="12">
        <f>B14*0.09</f>
        <v>6696.755999999999</v>
      </c>
      <c r="D15" s="14" t="s">
        <v>16</v>
      </c>
      <c r="E15" s="24">
        <f>E9+E10+E11+E12+E13+E14</f>
        <v>64067.4</v>
      </c>
      <c r="G15" s="45"/>
      <c r="H15" s="45"/>
    </row>
    <row r="16" spans="1:8" ht="15.75">
      <c r="A16" s="10" t="s">
        <v>17</v>
      </c>
      <c r="B16" s="12">
        <f>B14-B15</f>
        <v>67711.644</v>
      </c>
      <c r="C16" s="20"/>
      <c r="D16" s="10" t="s">
        <v>26</v>
      </c>
      <c r="E16" s="12">
        <f>E15*0.09</f>
        <v>5766.066</v>
      </c>
      <c r="G16" s="49" t="s">
        <v>61</v>
      </c>
      <c r="H16" s="50">
        <v>40</v>
      </c>
    </row>
    <row r="17" spans="1:8" ht="15.75">
      <c r="A17" s="10" t="s">
        <v>27</v>
      </c>
      <c r="B17" s="12">
        <f>Moutaferikate!$X$20</f>
        <v>13813</v>
      </c>
      <c r="C17" s="8"/>
      <c r="D17" s="10" t="s">
        <v>17</v>
      </c>
      <c r="E17" s="12">
        <f>E15-E16</f>
        <v>58301.334</v>
      </c>
      <c r="G17" s="45"/>
      <c r="H17" s="45"/>
    </row>
    <row r="18" spans="1:8" ht="18.75">
      <c r="A18" s="10" t="s">
        <v>37</v>
      </c>
      <c r="B18" s="12">
        <f>IF('كشف الراتب'!F5="نعم",$B$14*0.01,0)</f>
        <v>0</v>
      </c>
      <c r="D18" s="10" t="s">
        <v>27</v>
      </c>
      <c r="E18" s="12">
        <f>Moutaferikate!$U$34</f>
        <v>10990</v>
      </c>
      <c r="G18" s="51" t="s">
        <v>62</v>
      </c>
      <c r="H18" s="52">
        <f>IF(H16="","",(H16/40)*(B7*3)*0.4*0.819)</f>
        <v>39626.496</v>
      </c>
    </row>
    <row r="19" spans="1:8" ht="15.75">
      <c r="A19" s="14" t="s">
        <v>18</v>
      </c>
      <c r="B19" s="24">
        <f>B14-B15-B17-B18</f>
        <v>53898.644</v>
      </c>
      <c r="D19" s="10" t="s">
        <v>37</v>
      </c>
      <c r="E19" s="12">
        <f>IF('كشف الراتب'!F5="نعم",E15*0.01,0)</f>
        <v>0</v>
      </c>
      <c r="H19" s="15"/>
    </row>
    <row r="20" spans="1:5" ht="15.75">
      <c r="A20" s="14" t="s">
        <v>63</v>
      </c>
      <c r="B20" s="24">
        <f>IF(H12&lt;=5,H12*600,5*600+(H12-5)*300)</f>
        <v>0</v>
      </c>
      <c r="C20" s="24"/>
      <c r="D20" s="14" t="s">
        <v>18</v>
      </c>
      <c r="E20" s="24">
        <f>E15-E16-E18-E19</f>
        <v>47311.334</v>
      </c>
    </row>
    <row r="21" spans="1:5" ht="15.75">
      <c r="A21" s="10" t="s">
        <v>64</v>
      </c>
      <c r="B21" s="12">
        <f>H14*11.25</f>
        <v>0</v>
      </c>
      <c r="D21" s="14" t="s">
        <v>63</v>
      </c>
      <c r="E21" s="24">
        <f>IF(H12&lt;=5,H12*600,5*600+(H12-5)*300)</f>
        <v>0</v>
      </c>
    </row>
    <row r="22" spans="1:5" ht="15.75">
      <c r="A22" s="10" t="s">
        <v>65</v>
      </c>
      <c r="B22" s="12">
        <f>IF(H8="متزوج",IF(H10="ماكثة",800,0),0)</f>
        <v>0</v>
      </c>
      <c r="D22" s="10" t="s">
        <v>64</v>
      </c>
      <c r="E22" s="12">
        <f>H14*11.25</f>
        <v>0</v>
      </c>
    </row>
    <row r="23" spans="1:5" ht="15.75">
      <c r="A23" s="10" t="s">
        <v>66</v>
      </c>
      <c r="B23" s="12">
        <f>'كشف الراتب'!F7*(B19/30)</f>
        <v>0</v>
      </c>
      <c r="D23" s="10" t="s">
        <v>65</v>
      </c>
      <c r="E23" s="12">
        <f>IF(H8="متزوج",IF(H10="ماكثة",800,0),0)</f>
        <v>0</v>
      </c>
    </row>
    <row r="24" spans="1:5" ht="15.75">
      <c r="A24" s="14" t="s">
        <v>18</v>
      </c>
      <c r="B24" s="24">
        <f>(B19+B20+B21-B23+B22)</f>
        <v>53898.644</v>
      </c>
      <c r="D24" s="10" t="s">
        <v>66</v>
      </c>
      <c r="E24" s="12">
        <f>F5*(B19/30)</f>
        <v>0</v>
      </c>
    </row>
    <row r="25" spans="1:5" ht="15">
      <c r="A25" s="60" t="s">
        <v>56</v>
      </c>
      <c r="B25" s="58">
        <f>B19-E20</f>
        <v>6587.309999999998</v>
      </c>
      <c r="E25" s="24">
        <f>E20+E21+E23+E24</f>
        <v>47311.334</v>
      </c>
    </row>
    <row r="26" spans="1:2" ht="12.75">
      <c r="A26" s="61"/>
      <c r="B26" s="59"/>
    </row>
  </sheetData>
  <sheetProtection/>
  <mergeCells count="2">
    <mergeCell ref="A25:A26"/>
    <mergeCell ref="B25:B26"/>
  </mergeCells>
  <dataValidations count="9">
    <dataValidation type="decimal" allowBlank="1" showInputMessage="1" showErrorMessage="1" sqref="H16">
      <formula1>0</formula1>
      <formula2>40</formula2>
    </dataValidation>
    <dataValidation type="list" allowBlank="1" showInputMessage="1" showErrorMessage="1" sqref="H10">
      <formula1>tra</formula1>
    </dataValidation>
    <dataValidation type="whole" allowBlank="1" showInputMessage="1" showErrorMessage="1" sqref="H12">
      <formula1>0</formula1>
      <formula2>20</formula2>
    </dataValidation>
    <dataValidation type="list" allowBlank="1" showInputMessage="1" showErrorMessage="1" sqref="H8">
      <formula1>cf</formula1>
    </dataValidation>
    <dataValidation type="list" allowBlank="1" showInputMessage="1" showErrorMessage="1" sqref="F3">
      <formula1>minatec</formula1>
    </dataValidation>
    <dataValidation type="list" allowBlank="1" showInputMessage="1" showErrorMessage="1" sqref="B1">
      <formula1>classe</formula1>
    </dataValidation>
    <dataValidation type="list" allowBlank="1" showInputMessage="1" showErrorMessage="1" sqref="F1">
      <formula1>resp</formula1>
    </dataValidation>
    <dataValidation type="list" allowBlank="1" showInputMessage="1" showErrorMessage="1" sqref="B2">
      <formula1>ech</formula1>
    </dataValidation>
    <dataValidation type="whole" allowBlank="1" showInputMessage="1" showErrorMessage="1" errorTitle="حذاري" error="عدد الأولاد الأكبر من 10 سنوات أقل أو يساوي عدد الأولاد الكلي" sqref="H14:H15">
      <formula1>0</formula1>
      <formula2>H12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SIFOUR HOCINE</dc:creator>
  <cp:keywords/>
  <dc:description/>
  <cp:lastModifiedBy>ahmed</cp:lastModifiedBy>
  <cp:lastPrinted>2011-04-25T11:31:42Z</cp:lastPrinted>
  <dcterms:created xsi:type="dcterms:W3CDTF">2010-04-01T09:56:20Z</dcterms:created>
  <dcterms:modified xsi:type="dcterms:W3CDTF">2011-10-12T10:06:26Z</dcterms:modified>
  <cp:category/>
  <cp:version/>
  <cp:contentType/>
  <cp:contentStatus/>
</cp:coreProperties>
</file>